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codeName="ThisWorkbook" defaultThemeVersion="124226"/>
  <xr:revisionPtr revIDLastSave="0" documentId="13_ncr:1_{CF1C8A00-B5EB-48D0-980E-8D0ACEA351DD}" xr6:coauthVersionLast="47" xr6:coauthVersionMax="47" xr10:uidLastSave="{00000000-0000-0000-0000-000000000000}"/>
  <bookViews>
    <workbookView xWindow="17076" yWindow="1500" windowWidth="24744" windowHeight="16416" tabRatio="872" xr2:uid="{00000000-000D-0000-FFFF-FFFF00000000}"/>
  </bookViews>
  <sheets>
    <sheet name="冷温水二次ポンプ属性部変更用シート" sheetId="33" r:id="rId1"/>
  </sheet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33" l="1"/>
  <c r="M44" i="33"/>
  <c r="H71" i="33" l="1"/>
  <c r="H70" i="33"/>
  <c r="H69" i="33"/>
  <c r="H68" i="33"/>
  <c r="H67" i="33"/>
  <c r="M52" i="33" l="1"/>
  <c r="M54" i="33"/>
  <c r="G17" i="33" l="1"/>
  <c r="G25" i="33" s="1"/>
  <c r="G16" i="33"/>
  <c r="G30" i="33" s="1"/>
  <c r="G18" i="33"/>
  <c r="G19" i="33"/>
  <c r="I77" i="33"/>
  <c r="F77" i="33"/>
  <c r="H77" i="33" s="1"/>
  <c r="I67" i="33"/>
  <c r="I68" i="33"/>
  <c r="I69" i="33"/>
  <c r="I70" i="33"/>
  <c r="I71" i="33"/>
  <c r="E77" i="33"/>
  <c r="G77" i="33"/>
  <c r="G31" i="33" l="1"/>
  <c r="G32" i="33" s="1"/>
  <c r="G33" i="33" s="1"/>
  <c r="G35" i="33" s="1"/>
  <c r="F82" i="33"/>
  <c r="G82" i="33" s="1"/>
  <c r="G22" i="33"/>
  <c r="I28" i="33" s="1"/>
  <c r="G40" i="33" l="1"/>
  <c r="G41" i="33" s="1"/>
  <c r="G15" i="33" s="1"/>
  <c r="I30" i="33" s="1"/>
  <c r="G36" i="33"/>
  <c r="G38" i="33" s="1"/>
  <c r="F79" i="33"/>
  <c r="F81" i="33"/>
  <c r="H82" i="33"/>
  <c r="F83" i="33"/>
  <c r="F80" i="33"/>
  <c r="G37" i="33"/>
  <c r="G20" i="33" s="1"/>
  <c r="I24" i="33" s="1"/>
  <c r="G80" i="33" l="1"/>
  <c r="H80" i="33" s="1"/>
  <c r="G79" i="33"/>
  <c r="H79" i="33" s="1"/>
  <c r="G83" i="33"/>
  <c r="H83" i="33" s="1"/>
  <c r="G81" i="33"/>
  <c r="H81" i="33" s="1"/>
  <c r="G39" i="33"/>
  <c r="G21" i="33" s="1"/>
  <c r="I26" i="33" s="1"/>
  <c r="M56" i="33"/>
  <c r="M57" i="33"/>
  <c r="M55" i="33" l="1"/>
  <c r="M51" i="33"/>
  <c r="M53" i="33" l="1"/>
  <c r="L49" i="3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1:吐出圧力一定制御 
2:最小吐出圧力制御</t>
        </r>
      </text>
    </comment>
    <comment ref="G30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ポンプ運転台数決定に用いる基準吐出水量</t>
        </r>
        <r>
          <rPr>
            <sz val="9"/>
            <color indexed="81"/>
            <rFont val="ＭＳ Ｐゴシック"/>
            <family val="3"/>
            <charset val="128"/>
          </rPr>
          <t xml:space="preserve">
　稼働台数 ＝0 　：Lsp,r
　稼働台数 ≠0 　
    　制御１～３   ：{-b･h -√（(b・ｈ)^2-4a(c・h^2-Pd）}/2a*60
　　　　　　　　　　　  h=Nmax/Nsp.r
　　　制御４　　  　：Lsp,r
</t>
        </r>
      </text>
    </comment>
    <comment ref="G31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必要なポンプ回転数</t>
        </r>
        <r>
          <rPr>
            <sz val="9"/>
            <color indexed="81"/>
            <rFont val="ＭＳ Ｐゴシック"/>
            <family val="3"/>
            <charset val="128"/>
          </rPr>
          <t xml:space="preserve">
　制御1&amp;2(定速ポンプ)　　： Nd ' = Nsp,r       
　制御3&amp;4(可変速ポンプ  ： Nd ' = ( -b*Lsp,n/60+ ( (b*Lsp,n/60)^2-4*c* (a*(Lsp,n/60)^2-Psp,n) )^0.5)  /2/c *Nsp,r</t>
        </r>
      </text>
    </comment>
    <comment ref="G32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ポンプ回転数の上下限チェック</t>
        </r>
        <r>
          <rPr>
            <sz val="9"/>
            <color indexed="81"/>
            <rFont val="ＭＳ Ｐゴシック"/>
            <family val="3"/>
            <charset val="128"/>
          </rPr>
          <t xml:space="preserve">
停止のとき       Nd=0
Nd ' ≦ Nminのとき  Nd = Nmin
Nd ' ≧ Nmaxのとき Nd = Nmax
Nmin&lt; Nd ' &lt;Nmaxのとき Nd = Nd '</t>
        </r>
      </text>
    </comment>
    <comment ref="G33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１台あたりのポンプ吐出水量</t>
        </r>
        <r>
          <rPr>
            <sz val="9"/>
            <color indexed="81"/>
            <rFont val="ＭＳ Ｐゴシック"/>
            <family val="3"/>
            <charset val="128"/>
          </rPr>
          <t xml:space="preserve">
&lt;制御1,制御2&gt;　
　Lsp,s = Lsp,ref
&lt;制御3&gt;
　Lsp,s = {-b･h -√（(b・ｈ)^2-4a(c・h^2-Pd）}/2a*60
   h=Nd/Nsp,r
&lt;制御4&gt;　
　Lsp,s =  {-b･h -√（(b・ｈ)^2-4(a-(Psp,r-Pb)/(Lsp,r/60)^2)(c・h^2-Pb）}/2(a-(Psp,r-Pb)/(Lsp,r/60)^2)*60</t>
        </r>
      </text>
    </comment>
    <comment ref="G36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１台あたりのポンプ電力消費</t>
        </r>
        <r>
          <rPr>
            <sz val="9"/>
            <color indexed="81"/>
            <rFont val="ＭＳ Ｐゴシック"/>
            <family val="3"/>
            <charset val="128"/>
          </rPr>
          <t xml:space="preserve">
　停止： Esp,s =0
　運転： Esp,s =aec*(Lsp,s*P/60000/e)+bec</t>
        </r>
      </text>
    </comment>
    <comment ref="G3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二次ポンプの総吐出水量</t>
        </r>
        <r>
          <rPr>
            <sz val="9"/>
            <color indexed="81"/>
            <rFont val="ＭＳ Ｐゴシック"/>
            <family val="3"/>
            <charset val="128"/>
          </rPr>
          <t xml:space="preserve">
停止：  Lsp =0
運転：  Lsp = Lsp,s×Nm,sp</t>
        </r>
      </text>
    </comment>
    <comment ref="G38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二次ポンプの全電力消費</t>
        </r>
        <r>
          <rPr>
            <sz val="9"/>
            <color indexed="81"/>
            <rFont val="ＭＳ Ｐゴシック"/>
            <family val="3"/>
            <charset val="128"/>
          </rPr>
          <t xml:space="preserve">
　停止： Esp =0
　運転： Esp = Esp,s×Nm,sp</t>
        </r>
      </text>
    </comment>
    <comment ref="G39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二次ポンプ発熱による水温上昇</t>
        </r>
        <r>
          <rPr>
            <sz val="9"/>
            <color indexed="81"/>
            <rFont val="ＭＳ Ｐゴシック"/>
            <family val="3"/>
            <charset val="128"/>
          </rPr>
          <t xml:space="preserve">
　Tup,sp = （Lsp,s×Pd / 60 / 1000 / e ） ／ (4.186×Lsp,s / 60)
　　　　　 = Psp,n / 1000 / e /4.186</t>
        </r>
      </text>
    </comment>
    <comment ref="G44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下記の’定格揚程’における回転数50Hzまたは60Hz時
のポンプ吐出水量</t>
        </r>
      </text>
    </comment>
    <comment ref="G4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送水制御 1 　： 設計揚程を記入（仕様書より）
送水制御 2　 ： 二次側送水圧力設定値に同じ
送水制御 3　 ： 二次側送水圧力設定値に同じ
送水制御 4　 ： 設計揚程を記入（仕様書より）</t>
        </r>
      </text>
    </comment>
    <comment ref="G46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注） </t>
        </r>
        <r>
          <rPr>
            <sz val="9"/>
            <color indexed="81"/>
            <rFont val="ＭＳ Ｐゴシック"/>
            <family val="3"/>
            <charset val="128"/>
          </rPr>
          <t>制御４ を採用する場合：
二次ポンプ台数制御コントローラの【制御属性】部の
「二次側最小揚程（最小吐出圧用）」でバイアス揚程を加味して数値を入力した場合は、実揚程にバイアス揚程を加えた値を入力する。</t>
        </r>
      </text>
    </comment>
    <comment ref="G47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G48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G49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G55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属性作成部シート付属のグラフ内の式から読取入力</t>
        </r>
      </text>
    </comment>
    <comment ref="G56" authorId="0" shapeId="0" xr:uid="{00000000-0006-0000-0000-000011000000}">
      <text>
        <r>
          <rPr>
            <sz val="9"/>
            <color indexed="81"/>
            <rFont val="ＭＳ Ｐゴシック"/>
            <family val="3"/>
            <charset val="128"/>
          </rPr>
          <t>属性作成部シート付属のグラフ内の式から読取入力</t>
        </r>
      </text>
    </comment>
    <comment ref="G57" authorId="0" shapeId="0" xr:uid="{00000000-0006-0000-0000-000012000000}">
      <text>
        <r>
          <rPr>
            <sz val="9"/>
            <color indexed="81"/>
            <rFont val="ＭＳ Ｐゴシック"/>
            <family val="3"/>
            <charset val="128"/>
          </rPr>
          <t>属性作成部シート付属のグラフ内の式から読取入力</t>
        </r>
      </text>
    </comment>
    <comment ref="G58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デフォルト　1</t>
        </r>
      </text>
    </comment>
    <comment ref="G59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デフォルト　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67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ポンプの仕様書からPQ特性の５点を入力</t>
        </r>
      </text>
    </comment>
    <comment ref="E77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実揚程</t>
        </r>
      </text>
    </comment>
    <comment ref="G77" authorId="0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定格揚程-実揚程</t>
        </r>
      </text>
    </comment>
  </commentList>
</comments>
</file>

<file path=xl/sharedStrings.xml><?xml version="1.0" encoding="utf-8"?>
<sst xmlns="http://schemas.openxmlformats.org/spreadsheetml/2006/main" count="99" uniqueCount="88">
  <si>
    <t>二次ポンプ</t>
    <rPh sb="0" eb="1">
      <t>2</t>
    </rPh>
    <rPh sb="1" eb="2">
      <t>ジ</t>
    </rPh>
    <phoneticPr fontId="2"/>
  </si>
  <si>
    <t>エラー状態</t>
    <rPh sb="3" eb="5">
      <t>ジョウタイ</t>
    </rPh>
    <phoneticPr fontId="2"/>
  </si>
  <si>
    <t>二次ポンプ運転台数</t>
    <rPh sb="0" eb="2">
      <t>2ジ</t>
    </rPh>
    <rPh sb="5" eb="7">
      <t>ウンテン</t>
    </rPh>
    <rPh sb="7" eb="9">
      <t>ダイスウ</t>
    </rPh>
    <phoneticPr fontId="2"/>
  </si>
  <si>
    <t>二次ポンプ制御手法</t>
    <rPh sb="0" eb="2">
      <t>ニジ</t>
    </rPh>
    <rPh sb="5" eb="7">
      <t>セイギョ</t>
    </rPh>
    <rPh sb="7" eb="9">
      <t>シュホウ</t>
    </rPh>
    <phoneticPr fontId="2"/>
  </si>
  <si>
    <t>二次側送水制御</t>
    <rPh sb="0" eb="2">
      <t>2ジ</t>
    </rPh>
    <rPh sb="2" eb="3">
      <t>ガワ</t>
    </rPh>
    <rPh sb="3" eb="5">
      <t>ソウスイ</t>
    </rPh>
    <rPh sb="5" eb="7">
      <t>セイギョ</t>
    </rPh>
    <phoneticPr fontId="2"/>
  </si>
  <si>
    <t>送水制御　1：定流量/定速ポンプ</t>
    <rPh sb="0" eb="2">
      <t>ソウスイ</t>
    </rPh>
    <rPh sb="2" eb="4">
      <t>セイギョ</t>
    </rPh>
    <rPh sb="11" eb="12">
      <t>サダ</t>
    </rPh>
    <rPh sb="12" eb="13">
      <t>ハヤシ</t>
    </rPh>
    <phoneticPr fontId="2"/>
  </si>
  <si>
    <t>　　　　　　　2：送水圧一定/定速ポンプ</t>
    <rPh sb="9" eb="10">
      <t>ソウ</t>
    </rPh>
    <rPh sb="10" eb="12">
      <t>スイアツ</t>
    </rPh>
    <rPh sb="12" eb="14">
      <t>イッテイ</t>
    </rPh>
    <rPh sb="15" eb="16">
      <t>サダ</t>
    </rPh>
    <rPh sb="16" eb="17">
      <t>ハヤシ</t>
    </rPh>
    <phoneticPr fontId="2"/>
  </si>
  <si>
    <t>　　　　　　　3：送水圧一定/可変速ポンプ</t>
    <rPh sb="15" eb="16">
      <t>カ</t>
    </rPh>
    <rPh sb="16" eb="18">
      <t>ヘンソク</t>
    </rPh>
    <phoneticPr fontId="2"/>
  </si>
  <si>
    <t>冷温水二次ポンプ属性</t>
    <rPh sb="0" eb="3">
      <t>レイオンスイ</t>
    </rPh>
    <rPh sb="3" eb="5">
      <t>ニジ</t>
    </rPh>
    <rPh sb="8" eb="10">
      <t>ゾクセイ</t>
    </rPh>
    <phoneticPr fontId="2"/>
  </si>
  <si>
    <t>動力補正係数 aec</t>
    <rPh sb="0" eb="2">
      <t>ドウリョク</t>
    </rPh>
    <rPh sb="2" eb="4">
      <t>ホセイ</t>
    </rPh>
    <rPh sb="4" eb="6">
      <t>ケイスウ</t>
    </rPh>
    <phoneticPr fontId="2"/>
  </si>
  <si>
    <t>動力補正係数 bec</t>
    <rPh sb="0" eb="2">
      <t>ドウリョク</t>
    </rPh>
    <rPh sb="2" eb="4">
      <t>ホセイ</t>
    </rPh>
    <rPh sb="4" eb="6">
      <t>ケイスウ</t>
    </rPh>
    <phoneticPr fontId="2"/>
  </si>
  <si>
    <t>二次ポンプ属性入力支援シート （ポンプP-Q特性係数およびポンプ効率）</t>
    <rPh sb="0" eb="2">
      <t>ニジ</t>
    </rPh>
    <rPh sb="22" eb="24">
      <t>トクセイ</t>
    </rPh>
    <rPh sb="24" eb="26">
      <t>ケイスウ</t>
    </rPh>
    <rPh sb="32" eb="34">
      <t>コウリツ</t>
    </rPh>
    <phoneticPr fontId="2"/>
  </si>
  <si>
    <t>作図</t>
    <rPh sb="0" eb="2">
      <t>サクズ</t>
    </rPh>
    <phoneticPr fontId="2"/>
  </si>
  <si>
    <t>5点入力</t>
    <rPh sb="1" eb="2">
      <t>テン</t>
    </rPh>
    <rPh sb="2" eb="4">
      <t>ニュウリョク</t>
    </rPh>
    <phoneticPr fontId="2"/>
  </si>
  <si>
    <t>ポンプPQ特性を二次式に近似</t>
    <rPh sb="8" eb="11">
      <t>ニジシキ</t>
    </rPh>
    <rPh sb="12" eb="14">
      <t>キンジ</t>
    </rPh>
    <phoneticPr fontId="2"/>
  </si>
  <si>
    <t>ポンプ効率</t>
    <rPh sb="3" eb="5">
      <t>コウリツ</t>
    </rPh>
    <phoneticPr fontId="2"/>
  </si>
  <si>
    <t>※黄色セル：　手入力エリア</t>
    <rPh sb="2" eb="3">
      <t>イロ</t>
    </rPh>
    <rPh sb="7" eb="8">
      <t>テ</t>
    </rPh>
    <rPh sb="8" eb="10">
      <t>ニュウリョク</t>
    </rPh>
    <phoneticPr fontId="2"/>
  </si>
  <si>
    <t>※赤色セル：　係数の作成結果</t>
    <rPh sb="2" eb="3">
      <t>イロ</t>
    </rPh>
    <rPh sb="7" eb="9">
      <t>ケイスウ</t>
    </rPh>
    <rPh sb="10" eb="12">
      <t>サクセイ</t>
    </rPh>
    <rPh sb="12" eb="14">
      <t>ケッカ</t>
    </rPh>
    <phoneticPr fontId="2"/>
  </si>
  <si>
    <t>二次ポンプ制御手法</t>
  </si>
  <si>
    <t>確認用　ポンプＰ-Ｑ特性グラフ，配管系抵抗グラフ自動描画用セル</t>
    <rPh sb="0" eb="3">
      <t>カクニンヨウ</t>
    </rPh>
    <rPh sb="10" eb="12">
      <t>トクセイ</t>
    </rPh>
    <rPh sb="24" eb="26">
      <t>ジドウ</t>
    </rPh>
    <rPh sb="26" eb="28">
      <t>ビョウガ</t>
    </rPh>
    <rPh sb="28" eb="29">
      <t>ヨウ</t>
    </rPh>
    <phoneticPr fontId="2"/>
  </si>
  <si>
    <t>配管特性</t>
    <rPh sb="0" eb="2">
      <t>ハイカン</t>
    </rPh>
    <rPh sb="2" eb="4">
      <t>トクセイ</t>
    </rPh>
    <phoneticPr fontId="2"/>
  </si>
  <si>
    <t>設計仕様</t>
    <rPh sb="0" eb="2">
      <t>セッケイ</t>
    </rPh>
    <rPh sb="2" eb="4">
      <t>シヨウ</t>
    </rPh>
    <phoneticPr fontId="2"/>
  </si>
  <si>
    <t>ポンプPQ特性・配管系抵抗　属性部の値より計算</t>
    <rPh sb="8" eb="11">
      <t>ハイカンケイ</t>
    </rPh>
    <rPh sb="11" eb="13">
      <t>テイコウ</t>
    </rPh>
    <rPh sb="14" eb="16">
      <t>ゾクセイ</t>
    </rPh>
    <rPh sb="16" eb="17">
      <t>ブ</t>
    </rPh>
    <rPh sb="18" eb="19">
      <t>アタイ</t>
    </rPh>
    <rPh sb="21" eb="23">
      <t>ケイサン</t>
    </rPh>
    <phoneticPr fontId="2"/>
  </si>
  <si>
    <t>4(定格）</t>
    <rPh sb="2" eb="4">
      <t>テイカク</t>
    </rPh>
    <phoneticPr fontId="2"/>
  </si>
  <si>
    <t>5（定格x1.2)）</t>
    <rPh sb="2" eb="4">
      <t>テイカク</t>
    </rPh>
    <phoneticPr fontId="2"/>
  </si>
  <si>
    <t>【エラーコード】</t>
    <phoneticPr fontId="2"/>
  </si>
  <si>
    <t>：good　  （計算精度維持範囲内）</t>
    <rPh sb="17" eb="18">
      <t>ナイ</t>
    </rPh>
    <phoneticPr fontId="2"/>
  </si>
  <si>
    <t>：warning （計算精度維持範囲外）</t>
    <rPh sb="10" eb="12">
      <t>ケイサン</t>
    </rPh>
    <rPh sb="12" eb="14">
      <t>セイド</t>
    </rPh>
    <rPh sb="14" eb="16">
      <t>イジ</t>
    </rPh>
    <rPh sb="16" eb="19">
      <t>ハンイガイ</t>
    </rPh>
    <phoneticPr fontId="2"/>
  </si>
  <si>
    <t>：error 　 （機器許容運転範囲外）</t>
    <rPh sb="10" eb="12">
      <t>キキ</t>
    </rPh>
    <rPh sb="12" eb="14">
      <t>キョヨウ</t>
    </rPh>
    <rPh sb="14" eb="16">
      <t>ウンテン</t>
    </rPh>
    <rPh sb="16" eb="19">
      <t>ハンイガイ</t>
    </rPh>
    <phoneticPr fontId="2"/>
  </si>
  <si>
    <t>エラーコード(周波数）</t>
    <rPh sb="7" eb="10">
      <t>シュウハスウ</t>
    </rPh>
    <phoneticPr fontId="2"/>
  </si>
  <si>
    <t>※表示された数値の桁数は、エラーが生じた条件項目の位置を表す。</t>
    <phoneticPr fontId="2"/>
  </si>
  <si>
    <t>1(min)</t>
    <phoneticPr fontId="2"/>
  </si>
  <si>
    <t>5（max）</t>
    <phoneticPr fontId="2"/>
  </si>
  <si>
    <t>1(min)</t>
    <phoneticPr fontId="2"/>
  </si>
  <si>
    <t>ポンプ水温上昇 [℃]</t>
    <rPh sb="3" eb="4">
      <t>スイ</t>
    </rPh>
    <rPh sb="4" eb="5">
      <t>アツシ</t>
    </rPh>
    <rPh sb="5" eb="7">
      <t>ジョウショウ</t>
    </rPh>
    <phoneticPr fontId="2"/>
  </si>
  <si>
    <t>エラー判定</t>
    <rPh sb="3" eb="5">
      <t>ハンテイ</t>
    </rPh>
    <phoneticPr fontId="2"/>
  </si>
  <si>
    <t>揚程　［m］</t>
    <rPh sb="0" eb="1">
      <t>ヨウ</t>
    </rPh>
    <rPh sb="1" eb="2">
      <t>テイ</t>
    </rPh>
    <phoneticPr fontId="2"/>
  </si>
  <si>
    <t>［kPa］</t>
    <phoneticPr fontId="2"/>
  </si>
  <si>
    <t>実揚程［kPa］</t>
    <rPh sb="0" eb="1">
      <t>ジツ</t>
    </rPh>
    <rPh sb="1" eb="3">
      <t>ヨウテイ</t>
    </rPh>
    <phoneticPr fontId="2"/>
  </si>
  <si>
    <t>配管揚程［kPa］</t>
    <rPh sb="0" eb="2">
      <t>ハイカン</t>
    </rPh>
    <rPh sb="2" eb="4">
      <t>ヨウテイ</t>
    </rPh>
    <phoneticPr fontId="2"/>
  </si>
  <si>
    <t>水量［㍑/s］</t>
    <rPh sb="0" eb="2">
      <t>スイリョウ</t>
    </rPh>
    <phoneticPr fontId="2"/>
  </si>
  <si>
    <t>設計揚程［kPa］</t>
    <rPh sb="0" eb="2">
      <t>セッケイ</t>
    </rPh>
    <rPh sb="2" eb="3">
      <t>ヨウ</t>
    </rPh>
    <rPh sb="3" eb="4">
      <t>テイ</t>
    </rPh>
    <phoneticPr fontId="2"/>
  </si>
  <si>
    <t>揚程［kPa］</t>
    <rPh sb="0" eb="2">
      <t>ヨウテイ</t>
    </rPh>
    <phoneticPr fontId="2"/>
  </si>
  <si>
    <t>二次ポンプ必要揚程 [kPa]</t>
    <phoneticPr fontId="2"/>
  </si>
  <si>
    <t>二次ポンプ要求水量 [㍑/min]</t>
    <phoneticPr fontId="2"/>
  </si>
  <si>
    <t>総吐出水量 [㍑/min]</t>
    <phoneticPr fontId="2"/>
  </si>
  <si>
    <t>基準吐出水量 [㍑/min]</t>
    <phoneticPr fontId="2"/>
  </si>
  <si>
    <t>　　　　　　　4：最小吐出圧/可変速ポンプ</t>
    <phoneticPr fontId="2"/>
  </si>
  <si>
    <t>二次ポンプ運転台数：Nm,sp</t>
    <phoneticPr fontId="2"/>
  </si>
  <si>
    <t>二次ポンプ必要揚程 [kPa]：Pd</t>
    <phoneticPr fontId="2"/>
  </si>
  <si>
    <t>二次ポンプ要求水量 [㍑/min/台]：Lsp,n</t>
    <phoneticPr fontId="2"/>
  </si>
  <si>
    <t>二次ポンプ総吐出水量 [㍑/min]：Lsp</t>
    <phoneticPr fontId="2"/>
  </si>
  <si>
    <t>ポンプによる水温上昇 [℃]：Tup,sp</t>
    <phoneticPr fontId="2"/>
  </si>
  <si>
    <t>基準吐出水量 [㍑/min/台]：Lsp,ref</t>
    <phoneticPr fontId="2"/>
  </si>
  <si>
    <t>基準吐出水量 [㍑/min/台]：Lsp,ref</t>
    <rPh sb="0" eb="2">
      <t>キジュン</t>
    </rPh>
    <rPh sb="2" eb="4">
      <t>トシュツ</t>
    </rPh>
    <rPh sb="4" eb="5">
      <t>スイ</t>
    </rPh>
    <rPh sb="5" eb="6">
      <t>リョウ</t>
    </rPh>
    <phoneticPr fontId="2"/>
  </si>
  <si>
    <t>必要な周波数 [Hz]：Nd'</t>
    <rPh sb="0" eb="2">
      <t>ヒツヨウ</t>
    </rPh>
    <rPh sb="3" eb="6">
      <t>シュウハスウ</t>
    </rPh>
    <phoneticPr fontId="2"/>
  </si>
  <si>
    <t>実際の周波数 [Hz]：Nd</t>
    <rPh sb="0" eb="2">
      <t>ジッサイ</t>
    </rPh>
    <rPh sb="3" eb="6">
      <t>シュウハスウ</t>
    </rPh>
    <phoneticPr fontId="2"/>
  </si>
  <si>
    <t>ポンプ吐出水量 [㍑/min/台]：Lsp,s</t>
    <rPh sb="3" eb="4">
      <t>ハ</t>
    </rPh>
    <rPh sb="4" eb="5">
      <t>ダ</t>
    </rPh>
    <rPh sb="5" eb="7">
      <t>スイリョウ</t>
    </rPh>
    <rPh sb="15" eb="16">
      <t>ダイ</t>
    </rPh>
    <phoneticPr fontId="2"/>
  </si>
  <si>
    <t>ポンプ電力消費量 [kW/台]：Esp,s</t>
    <rPh sb="3" eb="5">
      <t>デンリョク</t>
    </rPh>
    <rPh sb="5" eb="7">
      <t>ショウヒ</t>
    </rPh>
    <rPh sb="7" eb="8">
      <t>リョウ</t>
    </rPh>
    <rPh sb="13" eb="14">
      <t>ダイ</t>
    </rPh>
    <phoneticPr fontId="2"/>
  </si>
  <si>
    <t>二次ポンプ総吐出水量 [㍑/min]：Lsp</t>
    <rPh sb="0" eb="2">
      <t>2ジ</t>
    </rPh>
    <phoneticPr fontId="2"/>
  </si>
  <si>
    <t>二次ポンプ総電力消費量 [kW]：Esp</t>
    <rPh sb="0" eb="2">
      <t>ニジ</t>
    </rPh>
    <rPh sb="5" eb="6">
      <t>ソウ</t>
    </rPh>
    <rPh sb="6" eb="8">
      <t>デンリョク</t>
    </rPh>
    <rPh sb="8" eb="10">
      <t>ショウヒ</t>
    </rPh>
    <rPh sb="10" eb="11">
      <t>リョウ</t>
    </rPh>
    <phoneticPr fontId="2"/>
  </si>
  <si>
    <t>ポンプによる水温上昇 [℃]：Tup,sp</t>
    <rPh sb="6" eb="7">
      <t>スイ</t>
    </rPh>
    <rPh sb="7" eb="8">
      <t>アツシ</t>
    </rPh>
    <rPh sb="8" eb="10">
      <t>ジョウショウ</t>
    </rPh>
    <phoneticPr fontId="2"/>
  </si>
  <si>
    <t>定格揚程 [kPa]：Psp,r</t>
    <rPh sb="0" eb="2">
      <t>テイカク</t>
    </rPh>
    <rPh sb="2" eb="3">
      <t>ヨウ</t>
    </rPh>
    <rPh sb="3" eb="4">
      <t>テイ</t>
    </rPh>
    <phoneticPr fontId="2"/>
  </si>
  <si>
    <t>実揚程（制御4：ﾊﾞｲｱｽ揚程を加算） [kPa]：Pb</t>
    <rPh sb="0" eb="1">
      <t>ジツ</t>
    </rPh>
    <rPh sb="1" eb="2">
      <t>アゲ</t>
    </rPh>
    <rPh sb="2" eb="3">
      <t>テイ</t>
    </rPh>
    <rPh sb="4" eb="6">
      <t>セイギョ</t>
    </rPh>
    <rPh sb="13" eb="15">
      <t>ヨウテイ</t>
    </rPh>
    <rPh sb="16" eb="18">
      <t>カサン</t>
    </rPh>
    <phoneticPr fontId="2"/>
  </si>
  <si>
    <t>定格周波数 [Hz]：Nsp,r</t>
    <rPh sb="0" eb="2">
      <t>テイカク</t>
    </rPh>
    <rPh sb="2" eb="5">
      <t>シュウハスウ</t>
    </rPh>
    <phoneticPr fontId="2"/>
  </si>
  <si>
    <t>上限周波数 [Hz]：Nmax</t>
    <rPh sb="0" eb="2">
      <t>ジョウゲン</t>
    </rPh>
    <rPh sb="2" eb="5">
      <t>シュウハスウ</t>
    </rPh>
    <phoneticPr fontId="2"/>
  </si>
  <si>
    <t>下限周波数 [Hz]：Nmin</t>
    <rPh sb="0" eb="2">
      <t>カゲン</t>
    </rPh>
    <rPh sb="2" eb="5">
      <t>シュウハスウ</t>
    </rPh>
    <phoneticPr fontId="2"/>
  </si>
  <si>
    <t>←ポンプ特性 属性部へ　</t>
    <phoneticPr fontId="2"/>
  </si>
  <si>
    <t>コピーした後、形式を選択して貼り付けで、値のみを貼り付ける。</t>
    <rPh sb="5" eb="6">
      <t>ノチ</t>
    </rPh>
    <rPh sb="7" eb="9">
      <t>ケイシキ</t>
    </rPh>
    <rPh sb="10" eb="12">
      <t>センタク</t>
    </rPh>
    <rPh sb="14" eb="15">
      <t>ハ</t>
    </rPh>
    <rPh sb="16" eb="17">
      <t>ツ</t>
    </rPh>
    <rPh sb="20" eb="21">
      <t>アタイ</t>
    </rPh>
    <rPh sb="24" eb="25">
      <t>ハ</t>
    </rPh>
    <rPh sb="26" eb="27">
      <t>ツ</t>
    </rPh>
    <phoneticPr fontId="2"/>
  </si>
  <si>
    <t>係数: b　　η=aQ^3+bQ^2+cQ+d</t>
    <rPh sb="0" eb="2">
      <t>ケイスウ</t>
    </rPh>
    <phoneticPr fontId="1"/>
  </si>
  <si>
    <t>係数: c　　［-］</t>
    <rPh sb="0" eb="2">
      <t>ケイスウ</t>
    </rPh>
    <phoneticPr fontId="1"/>
  </si>
  <si>
    <t>係数: d</t>
    <rPh sb="0" eb="2">
      <t>ケイスウ</t>
    </rPh>
    <phoneticPr fontId="1"/>
  </si>
  <si>
    <t>係数: a　　ﾎﾟﾝﾌﾟP-Q特性</t>
    <rPh sb="0" eb="2">
      <t>ケイスウ</t>
    </rPh>
    <phoneticPr fontId="1"/>
  </si>
  <si>
    <t>係数: b　　P=aQ^2+bQ+c</t>
    <rPh sb="0" eb="2">
      <t>ケイスウ</t>
    </rPh>
    <phoneticPr fontId="1"/>
  </si>
  <si>
    <t>係数: c　　［kPa］</t>
    <rPh sb="0" eb="2">
      <t>ケイスウ</t>
    </rPh>
    <phoneticPr fontId="1"/>
  </si>
  <si>
    <t>モータ効率（×インバータ効率） e</t>
    <rPh sb="3" eb="5">
      <t>コウリツ</t>
    </rPh>
    <rPh sb="12" eb="14">
      <t>コウリツ</t>
    </rPh>
    <phoneticPr fontId="1"/>
  </si>
  <si>
    <t>ポンプ負荷率（流量比/周波数比） [-]</t>
    <rPh sb="3" eb="6">
      <t>フカリツ</t>
    </rPh>
    <rPh sb="7" eb="10">
      <t>リュウリョウヒ</t>
    </rPh>
    <rPh sb="11" eb="15">
      <t>シュウハスウヒ</t>
    </rPh>
    <phoneticPr fontId="2"/>
  </si>
  <si>
    <t>ポンプ効率 ［-]：η</t>
    <rPh sb="3" eb="5">
      <t>コウリツ</t>
    </rPh>
    <phoneticPr fontId="2"/>
  </si>
  <si>
    <t>定格周波数・揚程点の水量 [L/min/台]：Lsp,r</t>
    <rPh sb="0" eb="2">
      <t>テイカク</t>
    </rPh>
    <rPh sb="2" eb="5">
      <t>シュウハスウ</t>
    </rPh>
    <rPh sb="6" eb="7">
      <t>アゲ</t>
    </rPh>
    <rPh sb="7" eb="8">
      <t>ホド</t>
    </rPh>
    <rPh sb="8" eb="9">
      <t>テン</t>
    </rPh>
    <rPh sb="10" eb="12">
      <t>スイリョウ</t>
    </rPh>
    <rPh sb="20" eb="21">
      <t>ダイ</t>
    </rPh>
    <phoneticPr fontId="2"/>
  </si>
  <si>
    <t>水量　［m3/s］</t>
    <rPh sb="0" eb="2">
      <t>スイリョウ</t>
    </rPh>
    <phoneticPr fontId="2"/>
  </si>
  <si>
    <t>水量　［L/min］</t>
    <rPh sb="0" eb="2">
      <t>スイリョウ</t>
    </rPh>
    <phoneticPr fontId="2"/>
  </si>
  <si>
    <t>水量 ［L/min］</t>
    <rPh sb="0" eb="2">
      <t>スイリョウ</t>
    </rPh>
    <phoneticPr fontId="2"/>
  </si>
  <si>
    <t>設計水量 ［L/min］</t>
    <rPh sb="0" eb="2">
      <t>セッケイ</t>
    </rPh>
    <rPh sb="2" eb="4">
      <t>スイリョウ</t>
    </rPh>
    <phoneticPr fontId="2"/>
  </si>
  <si>
    <t>水量［m3/s］</t>
    <rPh sb="0" eb="1">
      <t>ミズ</t>
    </rPh>
    <rPh sb="1" eb="2">
      <t>リョウ</t>
    </rPh>
    <phoneticPr fontId="2"/>
  </si>
  <si>
    <t>係数: a　　ポンプ効率特性</t>
    <rPh sb="0" eb="2">
      <t>ケイスウ</t>
    </rPh>
    <rPh sb="12" eb="14">
      <t>トクセイ</t>
    </rPh>
    <phoneticPr fontId="1"/>
  </si>
  <si>
    <t>冷温水二次ポンプ（効率特性）</t>
    <rPh sb="0" eb="1">
      <t>レイ</t>
    </rPh>
    <rPh sb="1" eb="3">
      <t>オンスイ</t>
    </rPh>
    <rPh sb="3" eb="5">
      <t>ニジ</t>
    </rPh>
    <rPh sb="9" eb="11">
      <t>コウリツ</t>
    </rPh>
    <rPh sb="11" eb="13">
      <t>トクセイ</t>
    </rPh>
    <phoneticPr fontId="2"/>
  </si>
  <si>
    <t>COMs_PCH2(EFF)-20251212</t>
    <phoneticPr fontId="2"/>
  </si>
  <si>
    <t>提供者：Kazuki YAJIMA</t>
    <rPh sb="0" eb="3">
      <t>テイキョウシャ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</si>
</sst>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yyyy/m/d;@"/>
    <numFmt numFmtId="177" formatCode="0_);[Red]\(0\)"/>
    <numFmt numFmtId="178" formatCode="0.0"/>
    <numFmt numFmtId="179" formatCode="#,##0_ "/>
    <numFmt numFmtId="180" formatCode="0.00_ "/>
    <numFmt numFmtId="181" formatCode="0_ "/>
    <numFmt numFmtId="182" formatCode="0.0_ "/>
    <numFmt numFmtId="183" formatCode="0.000000E+00"/>
    <numFmt numFmtId="184" formatCode="#,##0.0_ "/>
    <numFmt numFmtId="185" formatCode="0.000_ "/>
    <numFmt numFmtId="186" formatCode="#,##0.0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9"/>
      <color indexed="4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indexed="18"/>
      <name val="ＭＳ Ｐゴシック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6"/>
      <name val="Meiryo UI"/>
      <family val="2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gray0625">
        <bgColor indexed="11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76" fontId="5" fillId="0" borderId="0" xfId="0" applyNumberFormat="1" applyFont="1" applyAlignment="1" applyProtection="1">
      <protection locked="0"/>
    </xf>
    <xf numFmtId="0" fontId="5" fillId="0" borderId="0" xfId="0" applyFont="1" applyAlignment="1" applyProtection="1">
      <protection locked="0"/>
    </xf>
    <xf numFmtId="177" fontId="3" fillId="0" borderId="0" xfId="0" applyNumberFormat="1" applyFont="1" applyAlignment="1" applyProtection="1">
      <protection locked="0"/>
    </xf>
    <xf numFmtId="2" fontId="3" fillId="0" borderId="0" xfId="0" applyNumberFormat="1" applyFont="1" applyAlignment="1" applyProtection="1">
      <alignment horizontal="center" vertical="center"/>
      <protection locked="0"/>
    </xf>
    <xf numFmtId="177" fontId="3" fillId="0" borderId="0" xfId="0" applyNumberFormat="1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2" fontId="6" fillId="0" borderId="0" xfId="0" applyNumberFormat="1" applyFont="1" applyAlignment="1" applyProtection="1">
      <alignment horizontal="center" vertical="center"/>
      <protection locked="0"/>
    </xf>
    <xf numFmtId="11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178" fontId="3" fillId="0" borderId="0" xfId="0" applyNumberFormat="1" applyFont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3" fillId="5" borderId="28" xfId="0" applyFont="1" applyFill="1" applyBorder="1" applyAlignment="1" applyProtection="1">
      <alignment horizontal="center" vertical="center" shrinkToFit="1"/>
      <protection locked="0"/>
    </xf>
    <xf numFmtId="2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2" fontId="3" fillId="0" borderId="2" xfId="0" applyNumberFormat="1" applyFont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Alignment="1" applyProtection="1">
      <alignment horizontal="center" vertical="center"/>
      <protection locked="0"/>
    </xf>
    <xf numFmtId="0" fontId="3" fillId="7" borderId="13" xfId="0" applyFont="1" applyFill="1" applyBorder="1" applyProtection="1">
      <alignment vertical="center"/>
      <protection locked="0"/>
    </xf>
    <xf numFmtId="177" fontId="3" fillId="7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5" borderId="13" xfId="0" applyFont="1" applyFill="1" applyBorder="1" applyAlignment="1" applyProtection="1">
      <alignment horizontal="left" vertical="center" shrinkToFit="1"/>
      <protection locked="0"/>
    </xf>
    <xf numFmtId="177" fontId="3" fillId="8" borderId="14" xfId="0" applyNumberFormat="1" applyFont="1" applyFill="1" applyBorder="1" applyAlignment="1" applyProtection="1">
      <alignment horizontal="center" vertical="center"/>
      <protection locked="0"/>
    </xf>
    <xf numFmtId="1" fontId="3" fillId="2" borderId="4" xfId="0" applyNumberFormat="1" applyFont="1" applyFill="1" applyBorder="1" applyAlignment="1" applyProtection="1">
      <alignment horizontal="center" vertical="center"/>
      <protection locked="0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179" fontId="3" fillId="9" borderId="14" xfId="0" applyNumberFormat="1" applyFont="1" applyFill="1" applyBorder="1" applyAlignment="1" applyProtection="1">
      <alignment horizontal="center" vertical="center"/>
      <protection locked="0"/>
    </xf>
    <xf numFmtId="179" fontId="6" fillId="8" borderId="14" xfId="0" applyNumberFormat="1" applyFont="1" applyFill="1" applyBorder="1" applyAlignment="1" applyProtection="1">
      <alignment horizontal="center" vertical="center"/>
      <protection locked="0"/>
    </xf>
    <xf numFmtId="1" fontId="3" fillId="0" borderId="4" xfId="0" applyNumberFormat="1" applyFont="1" applyBorder="1" applyAlignment="1" applyProtection="1">
      <alignment horizontal="center" vertical="center" shrinkToFit="1"/>
      <protection locked="0"/>
    </xf>
    <xf numFmtId="1" fontId="3" fillId="5" borderId="13" xfId="0" applyNumberFormat="1" applyFont="1" applyFill="1" applyBorder="1" applyAlignment="1" applyProtection="1">
      <alignment horizontal="left" vertical="center" shrinkToFit="1"/>
      <protection locked="0"/>
    </xf>
    <xf numFmtId="179" fontId="3" fillId="10" borderId="29" xfId="0" applyNumberFormat="1" applyFont="1" applyFill="1" applyBorder="1" applyAlignment="1" applyProtection="1">
      <alignment horizontal="center" vertical="center"/>
      <protection locked="0"/>
    </xf>
    <xf numFmtId="182" fontId="3" fillId="10" borderId="29" xfId="0" applyNumberFormat="1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left" vertical="center" shrinkToFit="1"/>
      <protection locked="0"/>
    </xf>
    <xf numFmtId="179" fontId="3" fillId="10" borderId="24" xfId="0" applyNumberFormat="1" applyFont="1" applyFill="1" applyBorder="1" applyAlignment="1" applyProtection="1">
      <alignment horizontal="center" vertical="center"/>
      <protection locked="0"/>
    </xf>
    <xf numFmtId="2" fontId="3" fillId="0" borderId="5" xfId="0" applyNumberFormat="1" applyFont="1" applyBorder="1" applyAlignment="1" applyProtection="1">
      <alignment horizontal="center" vertical="center"/>
      <protection locked="0"/>
    </xf>
    <xf numFmtId="2" fontId="3" fillId="2" borderId="25" xfId="0" applyNumberFormat="1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Protection="1">
      <alignment vertical="center"/>
      <protection locked="0"/>
    </xf>
    <xf numFmtId="1" fontId="3" fillId="2" borderId="6" xfId="0" applyNumberFormat="1" applyFont="1" applyFill="1" applyBorder="1" applyProtection="1">
      <alignment vertical="center"/>
      <protection locked="0"/>
    </xf>
    <xf numFmtId="177" fontId="3" fillId="7" borderId="31" xfId="0" applyNumberFormat="1" applyFont="1" applyFill="1" applyBorder="1" applyAlignment="1" applyProtection="1">
      <alignment horizontal="center" vertical="center"/>
      <protection locked="0"/>
    </xf>
    <xf numFmtId="1" fontId="3" fillId="2" borderId="7" xfId="0" applyNumberFormat="1" applyFont="1" applyFill="1" applyBorder="1" applyProtection="1">
      <alignment vertical="center"/>
      <protection locked="0"/>
    </xf>
    <xf numFmtId="177" fontId="1" fillId="0" borderId="32" xfId="0" applyNumberFormat="1" applyFont="1" applyBorder="1" applyAlignment="1" applyProtection="1">
      <alignment horizontal="center" vertical="center"/>
      <protection locked="0"/>
    </xf>
    <xf numFmtId="178" fontId="3" fillId="0" borderId="4" xfId="0" applyNumberFormat="1" applyFont="1" applyBorder="1" applyAlignment="1" applyProtection="1">
      <alignment horizontal="center" vertical="center"/>
      <protection locked="0"/>
    </xf>
    <xf numFmtId="20" fontId="3" fillId="2" borderId="7" xfId="0" applyNumberFormat="1" applyFont="1" applyFill="1" applyBorder="1" applyProtection="1">
      <alignment vertical="center"/>
      <protection locked="0"/>
    </xf>
    <xf numFmtId="2" fontId="3" fillId="0" borderId="8" xfId="0" applyNumberFormat="1" applyFont="1" applyBorder="1" applyAlignment="1" applyProtection="1">
      <alignment horizontal="center" vertical="center"/>
      <protection locked="0"/>
    </xf>
    <xf numFmtId="2" fontId="3" fillId="2" borderId="9" xfId="0" applyNumberFormat="1" applyFont="1" applyFill="1" applyBorder="1" applyProtection="1">
      <alignment vertical="center"/>
      <protection locked="0"/>
    </xf>
    <xf numFmtId="177" fontId="1" fillId="0" borderId="23" xfId="0" applyNumberFormat="1" applyFont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left" vertical="center" shrinkToFit="1"/>
      <protection locked="0"/>
    </xf>
    <xf numFmtId="184" fontId="3" fillId="3" borderId="30" xfId="0" applyNumberFormat="1" applyFont="1" applyFill="1" applyBorder="1" applyAlignment="1" applyProtection="1">
      <alignment horizontal="center" vertical="center"/>
      <protection locked="0"/>
    </xf>
    <xf numFmtId="1" fontId="3" fillId="0" borderId="11" xfId="0" applyNumberFormat="1" applyFont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left" vertical="center" shrinkToFit="1"/>
      <protection locked="0"/>
    </xf>
    <xf numFmtId="179" fontId="3" fillId="3" borderId="19" xfId="0" applyNumberFormat="1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left" vertical="center" shrinkToFit="1"/>
      <protection locked="0"/>
    </xf>
    <xf numFmtId="179" fontId="3" fillId="11" borderId="14" xfId="0" applyNumberFormat="1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left" vertical="center" wrapText="1"/>
      <protection locked="0"/>
    </xf>
    <xf numFmtId="2" fontId="3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left" vertical="center"/>
      <protection locked="0"/>
    </xf>
    <xf numFmtId="185" fontId="3" fillId="11" borderId="14" xfId="0" applyNumberFormat="1" applyFont="1" applyFill="1" applyBorder="1" applyAlignment="1" applyProtection="1">
      <alignment horizontal="center" vertical="center"/>
      <protection locked="0"/>
    </xf>
    <xf numFmtId="182" fontId="3" fillId="3" borderId="14" xfId="0" applyNumberFormat="1" applyFont="1" applyFill="1" applyBorder="1" applyAlignment="1" applyProtection="1">
      <alignment horizontal="center" vertical="center"/>
      <protection locked="0"/>
    </xf>
    <xf numFmtId="182" fontId="3" fillId="11" borderId="19" xfId="0" applyNumberFormat="1" applyFont="1" applyFill="1" applyBorder="1" applyAlignment="1" applyProtection="1">
      <alignment horizontal="center" vertical="center"/>
      <protection locked="0"/>
    </xf>
    <xf numFmtId="185" fontId="3" fillId="3" borderId="14" xfId="0" applyNumberFormat="1" applyFont="1" applyFill="1" applyBorder="1" applyAlignment="1" applyProtection="1">
      <alignment horizontal="center" vertical="center"/>
      <protection locked="0"/>
    </xf>
    <xf numFmtId="0" fontId="3" fillId="7" borderId="13" xfId="0" applyFont="1" applyFill="1" applyBorder="1" applyAlignment="1" applyProtection="1">
      <alignment horizontal="left" vertical="center" shrinkToFit="1"/>
      <protection locked="0"/>
    </xf>
    <xf numFmtId="0" fontId="3" fillId="7" borderId="14" xfId="0" applyFont="1" applyFill="1" applyBorder="1" applyAlignment="1" applyProtection="1">
      <alignment horizontal="center" vertical="center"/>
      <protection locked="0"/>
    </xf>
    <xf numFmtId="180" fontId="3" fillId="0" borderId="0" xfId="0" applyNumberFormat="1" applyFont="1" applyProtection="1">
      <alignment vertical="center"/>
      <protection locked="0"/>
    </xf>
    <xf numFmtId="0" fontId="3" fillId="7" borderId="15" xfId="0" applyFont="1" applyFill="1" applyBorder="1" applyProtection="1">
      <alignment vertical="center"/>
      <protection locked="0"/>
    </xf>
    <xf numFmtId="0" fontId="3" fillId="7" borderId="2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/>
      <protection locked="0"/>
    </xf>
    <xf numFmtId="0" fontId="3" fillId="2" borderId="26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left" vertical="center" shrinkToFit="1"/>
      <protection locked="0"/>
    </xf>
    <xf numFmtId="184" fontId="3" fillId="4" borderId="14" xfId="0" applyNumberFormat="1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left" vertical="center"/>
      <protection locked="0"/>
    </xf>
    <xf numFmtId="184" fontId="3" fillId="6" borderId="22" xfId="0" applyNumberFormat="1" applyFont="1" applyFill="1" applyBorder="1" applyAlignment="1" applyProtection="1">
      <alignment horizontal="center" vertical="center"/>
      <protection locked="0"/>
    </xf>
    <xf numFmtId="179" fontId="3" fillId="4" borderId="14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Protection="1">
      <alignment vertical="center"/>
      <protection locked="0"/>
    </xf>
    <xf numFmtId="186" fontId="3" fillId="12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184" fontId="3" fillId="6" borderId="14" xfId="0" applyNumberFormat="1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3" fillId="2" borderId="15" xfId="0" applyFont="1" applyFill="1" applyBorder="1" applyAlignment="1" applyProtection="1">
      <alignment horizontal="left" vertical="center"/>
      <protection locked="0"/>
    </xf>
    <xf numFmtId="184" fontId="3" fillId="6" borderId="24" xfId="0" applyNumberFormat="1" applyFont="1" applyFill="1" applyBorder="1" applyAlignment="1" applyProtection="1">
      <alignment horizontal="center" vertical="center"/>
      <protection locked="0"/>
    </xf>
    <xf numFmtId="184" fontId="3" fillId="2" borderId="14" xfId="0" applyNumberFormat="1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left" vertical="center" shrinkToFit="1"/>
      <protection locked="0"/>
    </xf>
    <xf numFmtId="184" fontId="3" fillId="2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1" fontId="11" fillId="0" borderId="0" xfId="0" applyNumberFormat="1" applyFont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20" xfId="0" applyFont="1" applyFill="1" applyBorder="1" applyAlignment="1" applyProtection="1">
      <alignment horizontal="center" vertical="center"/>
      <protection locked="0"/>
    </xf>
    <xf numFmtId="0" fontId="3" fillId="5" borderId="21" xfId="0" applyFont="1" applyFill="1" applyBorder="1" applyAlignment="1" applyProtection="1">
      <alignment horizontal="center" vertical="center"/>
      <protection locked="0"/>
    </xf>
    <xf numFmtId="2" fontId="3" fillId="5" borderId="21" xfId="0" applyNumberFormat="1" applyFont="1" applyFill="1" applyBorder="1" applyAlignment="1" applyProtection="1">
      <alignment horizontal="center" vertical="center"/>
      <protection locked="0"/>
    </xf>
    <xf numFmtId="2" fontId="3" fillId="5" borderId="22" xfId="0" applyNumberFormat="1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center" vertical="center" wrapText="1"/>
      <protection locked="0"/>
    </xf>
    <xf numFmtId="0" fontId="3" fillId="3" borderId="18" xfId="0" applyFont="1" applyFill="1" applyBorder="1" applyAlignment="1" applyProtection="1">
      <alignment horizontal="center" vertical="center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2" fontId="3" fillId="4" borderId="18" xfId="0" applyNumberFormat="1" applyFont="1" applyFill="1" applyBorder="1" applyAlignment="1" applyProtection="1">
      <alignment horizontal="center" vertical="center"/>
      <protection locked="0"/>
    </xf>
    <xf numFmtId="185" fontId="3" fillId="3" borderId="18" xfId="0" applyNumberFormat="1" applyFont="1" applyFill="1" applyBorder="1" applyAlignment="1" applyProtection="1">
      <alignment horizontal="center" vertical="center"/>
      <protection locked="0"/>
    </xf>
    <xf numFmtId="2" fontId="3" fillId="3" borderId="19" xfId="0" applyNumberFormat="1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4" borderId="16" xfId="0" applyFont="1" applyFill="1" applyBorder="1" applyAlignment="1" applyProtection="1">
      <alignment horizontal="center" vertical="center"/>
      <protection locked="0"/>
    </xf>
    <xf numFmtId="2" fontId="3" fillId="4" borderId="16" xfId="0" applyNumberFormat="1" applyFont="1" applyFill="1" applyBorder="1" applyAlignment="1" applyProtection="1">
      <alignment horizontal="center" vertical="center"/>
      <protection locked="0"/>
    </xf>
    <xf numFmtId="185" fontId="3" fillId="3" borderId="16" xfId="0" applyNumberFormat="1" applyFont="1" applyFill="1" applyBorder="1" applyAlignment="1" applyProtection="1">
      <alignment horizontal="center" vertical="center"/>
      <protection locked="0"/>
    </xf>
    <xf numFmtId="2" fontId="3" fillId="3" borderId="14" xfId="0" applyNumberFormat="1" applyFont="1" applyFill="1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2" fontId="3" fillId="4" borderId="17" xfId="0" applyNumberFormat="1" applyFont="1" applyFill="1" applyBorder="1" applyAlignment="1" applyProtection="1">
      <alignment horizontal="center" vertical="center"/>
      <protection locked="0"/>
    </xf>
    <xf numFmtId="185" fontId="3" fillId="3" borderId="17" xfId="0" applyNumberFormat="1" applyFont="1" applyFill="1" applyBorder="1" applyAlignment="1" applyProtection="1">
      <alignment horizontal="center" vertical="center"/>
      <protection locked="0"/>
    </xf>
    <xf numFmtId="2" fontId="3" fillId="3" borderId="24" xfId="0" applyNumberFormat="1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horizontal="center" vertical="center"/>
      <protection locked="0"/>
    </xf>
    <xf numFmtId="2" fontId="3" fillId="5" borderId="16" xfId="0" applyNumberFormat="1" applyFont="1" applyFill="1" applyBorder="1" applyAlignment="1" applyProtection="1">
      <alignment horizontal="center" vertical="center" shrinkToFit="1"/>
      <protection locked="0"/>
    </xf>
    <xf numFmtId="0" fontId="3" fillId="5" borderId="16" xfId="0" applyFont="1" applyFill="1" applyBorder="1" applyAlignment="1" applyProtection="1">
      <alignment horizontal="center" vertical="center" shrinkToFit="1"/>
      <protection locked="0"/>
    </xf>
    <xf numFmtId="2" fontId="3" fillId="5" borderId="16" xfId="0" applyNumberFormat="1" applyFont="1" applyFill="1" applyBorder="1" applyAlignment="1" applyProtection="1">
      <alignment horizontal="center" vertical="center"/>
      <protection locked="0"/>
    </xf>
    <xf numFmtId="181" fontId="3" fillId="3" borderId="16" xfId="0" applyNumberFormat="1" applyFont="1" applyFill="1" applyBorder="1" applyAlignment="1" applyProtection="1">
      <alignment horizontal="center" vertical="center"/>
      <protection locked="0"/>
    </xf>
    <xf numFmtId="178" fontId="3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3" borderId="34" xfId="0" applyFont="1" applyFill="1" applyBorder="1" applyAlignment="1" applyProtection="1">
      <alignment horizontal="center" vertical="center" wrapText="1"/>
      <protection locked="0"/>
    </xf>
    <xf numFmtId="1" fontId="3" fillId="3" borderId="16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Alignment="1" applyProtection="1">
      <alignment horizontal="center" vertical="center" wrapText="1"/>
      <protection locked="0"/>
    </xf>
    <xf numFmtId="0" fontId="3" fillId="3" borderId="35" xfId="0" applyFont="1" applyFill="1" applyBorder="1" applyAlignment="1" applyProtection="1">
      <alignment horizontal="center" vertical="center" wrapText="1"/>
      <protection locked="0"/>
    </xf>
    <xf numFmtId="0" fontId="3" fillId="3" borderId="18" xfId="0" applyFont="1" applyFill="1" applyBorder="1" applyAlignment="1" applyProtection="1">
      <alignment horizontal="center" vertical="center" wrapText="1"/>
      <protection locked="0"/>
    </xf>
    <xf numFmtId="181" fontId="3" fillId="0" borderId="0" xfId="0" applyNumberFormat="1" applyFo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83" fontId="10" fillId="0" borderId="0" xfId="0" applyNumberFormat="1" applyFont="1" applyAlignment="1" applyProtection="1">
      <alignment horizontal="center" vertical="center"/>
      <protection locked="0"/>
    </xf>
    <xf numFmtId="183" fontId="10" fillId="0" borderId="0" xfId="0" applyNumberFormat="1" applyFont="1" applyProtection="1">
      <alignment vertical="center"/>
      <protection locked="0"/>
    </xf>
    <xf numFmtId="2" fontId="0" fillId="0" borderId="0" xfId="0" applyNumberFormat="1" applyProtection="1">
      <alignment vertical="center"/>
      <protection locked="0"/>
    </xf>
    <xf numFmtId="0" fontId="14" fillId="0" borderId="0" xfId="0" applyFont="1" applyProtection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6000032613639"/>
          <c:y val="0.25677759964287133"/>
          <c:w val="0.83630060804048445"/>
          <c:h val="0.55673019391596001"/>
        </c:manualLayout>
      </c:layout>
      <c:scatterChart>
        <c:scatterStyle val="smooth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ly"/>
            <c:order val="2"/>
            <c:forward val="1.0000000000000002E-3"/>
            <c:backward val="1.0000000000000002E-3"/>
            <c:dispRSqr val="0"/>
            <c:dispEq val="1"/>
            <c:trendlineLbl>
              <c:layout>
                <c:manualLayout>
                  <c:x val="-0.1355112895656255"/>
                  <c:y val="-0.49377845313195501"/>
                </c:manualLayout>
              </c:layout>
              <c:numFmt formatCode="General" sourceLinked="0"/>
              <c:spPr>
                <a:noFill/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ja-JP"/>
                </a:p>
              </c:txPr>
            </c:trendlineLbl>
          </c:trendline>
          <c:xVal>
            <c:numRef>
              <c:f>冷温水二次ポンプ属性部変更用シート!$H$67:$H$71</c:f>
              <c:numCache>
                <c:formatCode>0.000_ </c:formatCode>
                <c:ptCount val="5"/>
                <c:pt idx="0">
                  <c:v>0</c:v>
                </c:pt>
                <c:pt idx="1">
                  <c:v>6.9500000000000004E-3</c:v>
                </c:pt>
                <c:pt idx="2">
                  <c:v>1.3883333333333333E-2</c:v>
                </c:pt>
                <c:pt idx="3">
                  <c:v>2.0833333333333332E-2</c:v>
                </c:pt>
                <c:pt idx="4">
                  <c:v>2.3333333333333331E-2</c:v>
                </c:pt>
              </c:numCache>
            </c:numRef>
          </c:xVal>
          <c:yVal>
            <c:numRef>
              <c:f>冷温水二次ポンプ属性部変更用シート!$I$67:$I$71</c:f>
              <c:numCache>
                <c:formatCode>0.00</c:formatCode>
                <c:ptCount val="5"/>
                <c:pt idx="0">
                  <c:v>312.62</c:v>
                </c:pt>
                <c:pt idx="1">
                  <c:v>301.84000000000003</c:v>
                </c:pt>
                <c:pt idx="2">
                  <c:v>261.66000000000003</c:v>
                </c:pt>
                <c:pt idx="3">
                  <c:v>194.04000000000002</c:v>
                </c:pt>
                <c:pt idx="4">
                  <c:v>163.66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80-4C09-800B-E612DC37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284592"/>
        <c:axId val="463283808"/>
      </c:scatterChart>
      <c:valAx>
        <c:axId val="463284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水量 ㍑/s</a:t>
                </a:r>
              </a:p>
            </c:rich>
          </c:tx>
          <c:layout>
            <c:manualLayout>
              <c:xMode val="edge"/>
              <c:yMode val="edge"/>
              <c:x val="0.49004035126450318"/>
              <c:y val="0.891815136011224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3283808"/>
        <c:crosses val="autoZero"/>
        <c:crossBetween val="midCat"/>
      </c:valAx>
      <c:valAx>
        <c:axId val="463283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3284592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69123783031992"/>
          <c:y val="0.14946640860511515"/>
          <c:w val="0.82475660639777459"/>
          <c:h val="0.64531528794589388"/>
        </c:manualLayout>
      </c:layout>
      <c:scatterChart>
        <c:scatterStyle val="smoothMarker"/>
        <c:varyColors val="0"/>
        <c:ser>
          <c:idx val="1"/>
          <c:order val="0"/>
          <c:tx>
            <c:v>P-Q線図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ly"/>
            <c:order val="2"/>
            <c:forward val="3"/>
            <c:backward val="3"/>
            <c:dispRSqr val="0"/>
            <c:dispEq val="0"/>
          </c:trendline>
          <c:xVal>
            <c:numRef>
              <c:f>冷温水二次ポンプ属性部変更用シート!$F$79:$F$83</c:f>
              <c:numCache>
                <c:formatCode>General</c:formatCode>
                <c:ptCount val="5"/>
                <c:pt idx="0">
                  <c:v>669.48558398939304</c:v>
                </c:pt>
                <c:pt idx="1">
                  <c:v>803.38270078727157</c:v>
                </c:pt>
                <c:pt idx="2">
                  <c:v>1071.176934383029</c:v>
                </c:pt>
                <c:pt idx="3">
                  <c:v>1338.9711679787861</c:v>
                </c:pt>
                <c:pt idx="4">
                  <c:v>1606.7654015745431</c:v>
                </c:pt>
              </c:numCache>
            </c:numRef>
          </c:xVal>
          <c:yVal>
            <c:numRef>
              <c:f>冷温水二次ポンプ属性部変更用シート!$H$79:$H$83</c:f>
              <c:numCache>
                <c:formatCode>0</c:formatCode>
                <c:ptCount val="5"/>
                <c:pt idx="0">
                  <c:v>280.75509100775827</c:v>
                </c:pt>
                <c:pt idx="1">
                  <c:v>265.66750959059459</c:v>
                </c:pt>
                <c:pt idx="2">
                  <c:v>226.81719157968524</c:v>
                </c:pt>
                <c:pt idx="3">
                  <c:v>176.4</c:v>
                </c:pt>
                <c:pt idx="4">
                  <c:v>114.41593485153876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30-49C9-BBFF-C55F6FFC02C9}"/>
            </c:ext>
          </c:extLst>
        </c:ser>
        <c:ser>
          <c:idx val="0"/>
          <c:order val="1"/>
          <c:tx>
            <c:v>設計仕様</c:v>
          </c:tx>
          <c:spPr>
            <a:ln w="28575">
              <a:noFill/>
            </a:ln>
          </c:spPr>
          <c:marker>
            <c:symbol val="circle"/>
            <c:size val="1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冷温水二次ポンプ属性部変更用シート!$F$77</c:f>
              <c:numCache>
                <c:formatCode>General</c:formatCode>
                <c:ptCount val="1"/>
                <c:pt idx="0">
                  <c:v>1338.9711679787861</c:v>
                </c:pt>
              </c:numCache>
            </c:numRef>
          </c:xVal>
          <c:yVal>
            <c:numRef>
              <c:f>冷温水二次ポンプ属性部変更用シート!$I$77</c:f>
              <c:numCache>
                <c:formatCode>0_ </c:formatCode>
                <c:ptCount val="1"/>
                <c:pt idx="0">
                  <c:v>176.4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30-49C9-BBFF-C55F6FFC0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284200"/>
        <c:axId val="463284984"/>
      </c:scatterChart>
      <c:valAx>
        <c:axId val="463284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水量 </a:t>
                </a:r>
                <a:r>
                  <a:rPr lang="en-US" altLang="ja-JP"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L</a:t>
                </a: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/min</a:t>
                </a:r>
              </a:p>
            </c:rich>
          </c:tx>
          <c:layout>
            <c:manualLayout>
              <c:xMode val="edge"/>
              <c:yMode val="edge"/>
              <c:x val="0.49004030746156735"/>
              <c:y val="0.89181520065336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3284984"/>
        <c:crosses val="autoZero"/>
        <c:crossBetween val="midCat"/>
      </c:valAx>
      <c:valAx>
        <c:axId val="463284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3284200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6173913043478261"/>
          <c:y val="0.55192958307675588"/>
          <c:w val="0.15304347826086956"/>
          <c:h val="0.207715434491252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3</xdr:row>
      <xdr:rowOff>142875</xdr:rowOff>
    </xdr:from>
    <xdr:to>
      <xdr:col>8</xdr:col>
      <xdr:colOff>866775</xdr:colOff>
      <xdr:row>9</xdr:row>
      <xdr:rowOff>76200</xdr:rowOff>
    </xdr:to>
    <xdr:grpSp>
      <xdr:nvGrpSpPr>
        <xdr:cNvPr id="4151564" name="Group 1396">
          <a:extLst>
            <a:ext uri="{FF2B5EF4-FFF2-40B4-BE49-F238E27FC236}">
              <a16:creationId xmlns:a16="http://schemas.microsoft.com/office/drawing/2014/main" id="{00000000-0008-0000-0000-00000C593F00}"/>
            </a:ext>
          </a:extLst>
        </xdr:cNvPr>
        <xdr:cNvGrpSpPr>
          <a:grpSpLocks/>
        </xdr:cNvGrpSpPr>
      </xdr:nvGrpSpPr>
      <xdr:grpSpPr bwMode="auto">
        <a:xfrm>
          <a:off x="2642235" y="622935"/>
          <a:ext cx="5829300" cy="847725"/>
          <a:chOff x="191" y="62"/>
          <a:chExt cx="676" cy="89"/>
        </a:xfrm>
      </xdr:grpSpPr>
      <xdr:sp macro="" textlink="">
        <xdr:nvSpPr>
          <xdr:cNvPr id="1743" name="Rectangle 719">
            <a:extLst>
              <a:ext uri="{FF2B5EF4-FFF2-40B4-BE49-F238E27FC236}">
                <a16:creationId xmlns:a16="http://schemas.microsoft.com/office/drawing/2014/main" id="{00000000-0008-0000-0000-0000CF060000}"/>
              </a:ext>
            </a:extLst>
          </xdr:cNvPr>
          <xdr:cNvSpPr>
            <a:spLocks noChangeArrowheads="1"/>
          </xdr:cNvSpPr>
        </xdr:nvSpPr>
        <xdr:spPr bwMode="auto">
          <a:xfrm>
            <a:off x="442" y="86"/>
            <a:ext cx="185" cy="41"/>
          </a:xfrm>
          <a:prstGeom prst="rect">
            <a:avLst/>
          </a:prstGeom>
          <a:solidFill>
            <a:srgbClr val="CC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74295" tIns="8890" rIns="74295" bIns="8890" anchor="ctr" upright="1"/>
          <a:lstStyle/>
          <a:p>
            <a:pPr algn="ctr" rtl="0"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二次ポンプモデル</a:t>
            </a:r>
          </a:p>
        </xdr:txBody>
      </xdr:sp>
      <xdr:sp macro="" textlink="">
        <xdr:nvSpPr>
          <xdr:cNvPr id="4151568" name="AutoShape 720">
            <a:extLst>
              <a:ext uri="{FF2B5EF4-FFF2-40B4-BE49-F238E27FC236}">
                <a16:creationId xmlns:a16="http://schemas.microsoft.com/office/drawing/2014/main" id="{00000000-0008-0000-0000-000010593F00}"/>
              </a:ext>
            </a:extLst>
          </xdr:cNvPr>
          <xdr:cNvSpPr>
            <a:spLocks noChangeArrowheads="1"/>
          </xdr:cNvSpPr>
        </xdr:nvSpPr>
        <xdr:spPr bwMode="auto">
          <a:xfrm>
            <a:off x="647" y="90"/>
            <a:ext cx="45" cy="39"/>
          </a:xfrm>
          <a:prstGeom prst="rightArrow">
            <a:avLst>
              <a:gd name="adj1" fmla="val 48722"/>
              <a:gd name="adj2" fmla="val 48718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45" name="Text Box 721">
            <a:extLst>
              <a:ext uri="{FF2B5EF4-FFF2-40B4-BE49-F238E27FC236}">
                <a16:creationId xmlns:a16="http://schemas.microsoft.com/office/drawing/2014/main" id="{00000000-0008-0000-0000-0000D106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1" y="62"/>
            <a:ext cx="160" cy="89"/>
          </a:xfrm>
          <a:prstGeom prst="rect">
            <a:avLst/>
          </a:prstGeom>
          <a:solidFill>
            <a:srgbClr val="CCFFCC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74295" tIns="8890" rIns="74295" bIns="8890" anchor="ctr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二次ポンプ制御手法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二次ポンプ運転台数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二次ポンプ必要揚程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二次ポンプ要求水量</a:t>
            </a:r>
          </a:p>
        </xdr:txBody>
      </xdr:sp>
      <xdr:sp macro="" textlink="">
        <xdr:nvSpPr>
          <xdr:cNvPr id="1746" name="Text Box 722">
            <a:extLst>
              <a:ext uri="{FF2B5EF4-FFF2-40B4-BE49-F238E27FC236}">
                <a16:creationId xmlns:a16="http://schemas.microsoft.com/office/drawing/2014/main" id="{00000000-0008-0000-0000-0000D206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4" y="75"/>
            <a:ext cx="34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入力</a:t>
            </a:r>
          </a:p>
        </xdr:txBody>
      </xdr:sp>
      <xdr:sp macro="" textlink="">
        <xdr:nvSpPr>
          <xdr:cNvPr id="1747" name="Text Box 723">
            <a:extLst>
              <a:ext uri="{FF2B5EF4-FFF2-40B4-BE49-F238E27FC236}">
                <a16:creationId xmlns:a16="http://schemas.microsoft.com/office/drawing/2014/main" id="{00000000-0008-0000-0000-0000D306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70"/>
            <a:ext cx="34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出力</a:t>
            </a:r>
          </a:p>
        </xdr:txBody>
      </xdr:sp>
      <xdr:sp macro="" textlink="">
        <xdr:nvSpPr>
          <xdr:cNvPr id="4151572" name="AutoShape 724">
            <a:extLst>
              <a:ext uri="{FF2B5EF4-FFF2-40B4-BE49-F238E27FC236}">
                <a16:creationId xmlns:a16="http://schemas.microsoft.com/office/drawing/2014/main" id="{00000000-0008-0000-0000-000014593F00}"/>
              </a:ext>
            </a:extLst>
          </xdr:cNvPr>
          <xdr:cNvSpPr>
            <a:spLocks noChangeArrowheads="1"/>
          </xdr:cNvSpPr>
        </xdr:nvSpPr>
        <xdr:spPr bwMode="auto">
          <a:xfrm>
            <a:off x="378" y="90"/>
            <a:ext cx="45" cy="39"/>
          </a:xfrm>
          <a:prstGeom prst="rightArrow">
            <a:avLst>
              <a:gd name="adj1" fmla="val 48722"/>
              <a:gd name="adj2" fmla="val 48718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49" name="Text Box 725">
            <a:extLst>
              <a:ext uri="{FF2B5EF4-FFF2-40B4-BE49-F238E27FC236}">
                <a16:creationId xmlns:a16="http://schemas.microsoft.com/office/drawing/2014/main" id="{00000000-0008-0000-0000-0000D506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10" y="62"/>
            <a:ext cx="157" cy="89"/>
          </a:xfrm>
          <a:prstGeom prst="rect">
            <a:avLst/>
          </a:prstGeom>
          <a:solidFill>
            <a:srgbClr val="CCFFCC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74295" tIns="8890" rIns="74295" bIns="8890" anchor="ctr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二次ポンプ総吐出量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二次ポンプによる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　　　循環水上昇温度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二次ポンプ電力消費</a:t>
            </a:r>
          </a:p>
        </xdr:txBody>
      </xdr:sp>
    </xdr:grpSp>
    <xdr:clientData/>
  </xdr:twoCellAnchor>
  <xdr:twoCellAnchor>
    <xdr:from>
      <xdr:col>9</xdr:col>
      <xdr:colOff>152400</xdr:colOff>
      <xdr:row>65</xdr:row>
      <xdr:rowOff>0</xdr:rowOff>
    </xdr:from>
    <xdr:to>
      <xdr:col>15</xdr:col>
      <xdr:colOff>171450</xdr:colOff>
      <xdr:row>81</xdr:row>
      <xdr:rowOff>133350</xdr:rowOff>
    </xdr:to>
    <xdr:graphicFrame macro="">
      <xdr:nvGraphicFramePr>
        <xdr:cNvPr id="4151565" name="Chart 1392">
          <a:extLst>
            <a:ext uri="{FF2B5EF4-FFF2-40B4-BE49-F238E27FC236}">
              <a16:creationId xmlns:a16="http://schemas.microsoft.com/office/drawing/2014/main" id="{00000000-0008-0000-0000-00000D593F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161925</xdr:colOff>
      <xdr:row>82</xdr:row>
      <xdr:rowOff>28575</xdr:rowOff>
    </xdr:from>
    <xdr:to>
      <xdr:col>15</xdr:col>
      <xdr:colOff>200025</xdr:colOff>
      <xdr:row>103</xdr:row>
      <xdr:rowOff>38100</xdr:rowOff>
    </xdr:to>
    <xdr:graphicFrame macro="">
      <xdr:nvGraphicFramePr>
        <xdr:cNvPr id="4151566" name="Chart 6900">
          <a:extLst>
            <a:ext uri="{FF2B5EF4-FFF2-40B4-BE49-F238E27FC236}">
              <a16:creationId xmlns:a16="http://schemas.microsoft.com/office/drawing/2014/main" id="{00000000-0008-0000-0000-00000E593F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</cdr:x>
      <cdr:y>0.15299</cdr:y>
    </cdr:from>
    <cdr:to>
      <cdr:x>0.00098</cdr:x>
      <cdr:y>0.15469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826" y="534381"/>
          <a:ext cx="4599803" cy="3972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Y = aX</a:t>
          </a:r>
          <a:r>
            <a:rPr lang="en-US" altLang="ja-JP" sz="1100" b="0" i="0" strike="noStrike" baseline="30000">
              <a:solidFill>
                <a:srgbClr val="FF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 + bX + c  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の 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c 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を属性部のポンプ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P-Q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特性として入力</a:t>
          </a:r>
        </a:p>
      </cdr:txBody>
    </cdr:sp>
  </cdr:relSizeAnchor>
  <cdr:relSizeAnchor xmlns:cdr="http://schemas.openxmlformats.org/drawingml/2006/chartDrawing">
    <cdr:from>
      <cdr:x>0.01752</cdr:x>
      <cdr:y>0.27825</cdr:y>
    </cdr:from>
    <cdr:to>
      <cdr:x>0.08901</cdr:x>
      <cdr:y>0.60784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622" y="924966"/>
          <a:ext cx="390154" cy="10956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0" rIns="27432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揚程（</a:t>
          </a:r>
          <a:r>
            <a:rPr lang="en-US" altLang="ja-JP" sz="1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kPa</a:t>
          </a:r>
          <a:r>
            <a:rPr lang="ja-JP" altLang="en-US" sz="1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0.01434</cdr:x>
      <cdr:y>0.30181</cdr:y>
    </cdr:from>
    <cdr:to>
      <cdr:x>0.08837</cdr:x>
      <cdr:y>0.62025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627" y="1130013"/>
          <a:ext cx="426146" cy="1045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0" rIns="27432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揚程（</a:t>
          </a:r>
          <a:r>
            <a:rPr lang="en-US" altLang="ja-JP" sz="1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kPa</a:t>
          </a:r>
          <a:r>
            <a:rPr lang="ja-JP" altLang="en-US" sz="1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cdr:txBody>
    </cdr:sp>
  </cdr:relSizeAnchor>
  <cdr:relSizeAnchor xmlns:cdr="http://schemas.openxmlformats.org/drawingml/2006/chartDrawing">
    <cdr:from>
      <cdr:x>0.01535</cdr:x>
      <cdr:y>0.03372</cdr:y>
    </cdr:from>
    <cdr:to>
      <cdr:x>0.65926</cdr:x>
      <cdr:y>0.10285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46" y="111722"/>
          <a:ext cx="3098816" cy="2210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1" i="0" strike="noStrike">
              <a:solidFill>
                <a:srgbClr val="000080"/>
              </a:solidFill>
              <a:latin typeface="ＭＳ Ｐゴシック"/>
              <a:ea typeface="ＭＳ Ｐゴシック"/>
            </a:rPr>
            <a:t>　　特性確認用：</a:t>
          </a:r>
          <a:r>
            <a:rPr lang="ja-JP" altLang="en-US" sz="1100" b="1" i="0" strike="noStrike">
              <a:solidFill>
                <a:srgbClr val="000080"/>
              </a:solidFill>
              <a:latin typeface="ＭＳ Ｐゴシック"/>
              <a:ea typeface="ＭＳ Ｐゴシック"/>
            </a:rPr>
            <a:t>　ポンプＰ</a:t>
          </a:r>
          <a:r>
            <a:rPr lang="en-US" altLang="ja-JP" sz="1100" b="1" i="0" strike="noStrike">
              <a:solidFill>
                <a:srgbClr val="00008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100" b="1" i="0" strike="noStrike">
              <a:solidFill>
                <a:srgbClr val="000080"/>
              </a:solidFill>
              <a:latin typeface="ＭＳ Ｐゴシック"/>
              <a:ea typeface="ＭＳ Ｐゴシック"/>
            </a:rPr>
            <a:t>Ｑ特性グラフ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04"/>
  <sheetViews>
    <sheetView tabSelected="1" zoomScaleNormal="100" workbookViewId="0">
      <selection activeCell="E29" sqref="E29"/>
    </sheetView>
  </sheetViews>
  <sheetFormatPr defaultRowHeight="13.5" customHeight="1" x14ac:dyDescent="0.2"/>
  <cols>
    <col min="1" max="1" width="2.33203125" style="16" customWidth="1"/>
    <col min="2" max="2" width="11" style="16" customWidth="1"/>
    <col min="3" max="3" width="18.109375" style="16" customWidth="1"/>
    <col min="4" max="4" width="14" style="16" customWidth="1"/>
    <col min="5" max="5" width="13.21875" style="16" customWidth="1"/>
    <col min="6" max="6" width="28.21875" style="16" customWidth="1"/>
    <col min="7" max="7" width="12.21875" style="16" customWidth="1"/>
    <col min="8" max="8" width="11.77734375" style="16" customWidth="1"/>
    <col min="9" max="9" width="19.6640625" style="16" customWidth="1"/>
    <col min="10" max="10" width="7.33203125" style="16" customWidth="1"/>
    <col min="11" max="11" width="7.44140625" style="16" bestFit="1" customWidth="1"/>
    <col min="12" max="12" width="22.44140625" style="16" customWidth="1"/>
    <col min="13" max="13" width="8.44140625" style="16" customWidth="1"/>
    <col min="14" max="14" width="18" style="16" bestFit="1" customWidth="1"/>
    <col min="15" max="15" width="7.44140625" style="16" customWidth="1"/>
    <col min="16" max="16" width="9.44140625" style="16" bestFit="1" customWidth="1"/>
    <col min="17" max="16384" width="8.88671875" style="16"/>
  </cols>
  <sheetData>
    <row r="1" spans="2:17" s="1" customFormat="1" ht="13.8" customHeight="1" x14ac:dyDescent="0.15">
      <c r="C1" s="130" t="s">
        <v>87</v>
      </c>
      <c r="O1" s="2"/>
      <c r="P1" s="2"/>
      <c r="Q1" s="2"/>
    </row>
    <row r="2" spans="2:17" s="1" customFormat="1" ht="12" customHeight="1" x14ac:dyDescent="0.15">
      <c r="O2" s="3"/>
      <c r="P2" s="4"/>
      <c r="Q2" s="5"/>
    </row>
    <row r="3" spans="2:17" s="1" customFormat="1" ht="12" customHeight="1" x14ac:dyDescent="0.15">
      <c r="D3" s="6"/>
      <c r="J3" s="7"/>
      <c r="O3" s="3"/>
      <c r="P3" s="4"/>
      <c r="Q3" s="5"/>
    </row>
    <row r="4" spans="2:17" s="1" customFormat="1" ht="12" customHeight="1" x14ac:dyDescent="0.15">
      <c r="D4" s="6"/>
      <c r="J4" s="7"/>
      <c r="O4" s="3"/>
      <c r="P4" s="4"/>
      <c r="Q4" s="5"/>
    </row>
    <row r="5" spans="2:17" s="1" customFormat="1" ht="12" customHeight="1" x14ac:dyDescent="0.15">
      <c r="D5" s="6"/>
      <c r="J5" s="7"/>
      <c r="O5" s="3"/>
      <c r="P5" s="4"/>
      <c r="Q5" s="5"/>
    </row>
    <row r="6" spans="2:17" s="1" customFormat="1" ht="12" customHeight="1" x14ac:dyDescent="0.15">
      <c r="D6" s="6"/>
      <c r="J6" s="7"/>
      <c r="O6" s="3"/>
      <c r="P6" s="4"/>
      <c r="Q6" s="5"/>
    </row>
    <row r="7" spans="2:17" s="1" customFormat="1" ht="12" customHeight="1" x14ac:dyDescent="0.15">
      <c r="D7" s="8"/>
      <c r="J7" s="7"/>
      <c r="O7" s="3"/>
      <c r="P7" s="4"/>
      <c r="Q7" s="5"/>
    </row>
    <row r="8" spans="2:17" s="1" customFormat="1" ht="12" customHeight="1" x14ac:dyDescent="0.15">
      <c r="B8" s="9"/>
      <c r="C8" s="10"/>
      <c r="D8" s="9"/>
      <c r="E8" s="7"/>
      <c r="F8" s="11"/>
      <c r="G8" s="12"/>
      <c r="O8" s="3"/>
      <c r="P8" s="4"/>
      <c r="Q8" s="5"/>
    </row>
    <row r="9" spans="2:17" s="1" customFormat="1" ht="12" customHeight="1" x14ac:dyDescent="0.15">
      <c r="B9" s="13"/>
      <c r="C9" s="10"/>
      <c r="D9" s="14"/>
      <c r="E9" s="7"/>
      <c r="F9" s="11"/>
      <c r="G9" s="12"/>
      <c r="O9" s="3"/>
      <c r="P9" s="4"/>
      <c r="Q9" s="5"/>
    </row>
    <row r="10" spans="2:17" s="1" customFormat="1" ht="12" customHeight="1" x14ac:dyDescent="0.15">
      <c r="B10" s="13"/>
      <c r="C10" s="15"/>
      <c r="D10" s="14"/>
      <c r="E10" s="7"/>
      <c r="F10" s="7"/>
      <c r="G10" s="10"/>
      <c r="O10" s="3"/>
      <c r="P10" s="4"/>
      <c r="Q10" s="5"/>
    </row>
    <row r="11" spans="2:17" s="1" customFormat="1" ht="12" customHeight="1" x14ac:dyDescent="0.15">
      <c r="B11" s="9"/>
      <c r="C11" s="7"/>
      <c r="D11" s="14"/>
      <c r="E11" s="7"/>
      <c r="F11" s="7"/>
      <c r="G11" s="10"/>
      <c r="O11" s="3"/>
      <c r="P11" s="4"/>
      <c r="Q11" s="5"/>
    </row>
    <row r="12" spans="2:17" s="1" customFormat="1" ht="12" customHeight="1" x14ac:dyDescent="0.15">
      <c r="B12" s="9"/>
      <c r="C12" s="7"/>
      <c r="D12" s="9"/>
      <c r="E12" s="7"/>
      <c r="F12" s="16"/>
      <c r="G12" s="16"/>
      <c r="H12" s="16"/>
      <c r="O12" s="3"/>
      <c r="P12" s="4"/>
      <c r="Q12" s="5"/>
    </row>
    <row r="13" spans="2:17" s="1" customFormat="1" ht="12" customHeight="1" thickBot="1" x14ac:dyDescent="0.2">
      <c r="B13" s="9"/>
      <c r="C13" s="9"/>
      <c r="D13" s="9"/>
      <c r="E13" s="7"/>
      <c r="F13" s="16"/>
      <c r="G13" s="16"/>
      <c r="H13" s="16"/>
      <c r="I13" s="17"/>
      <c r="O13" s="3"/>
      <c r="P13" s="4"/>
      <c r="Q13" s="5"/>
    </row>
    <row r="14" spans="2:17" s="1" customFormat="1" ht="12" customHeight="1" thickBot="1" x14ac:dyDescent="0.2">
      <c r="C14" s="9"/>
      <c r="D14" s="9"/>
      <c r="E14" s="7"/>
      <c r="F14" s="18" t="s">
        <v>85</v>
      </c>
      <c r="G14" s="19" t="s">
        <v>86</v>
      </c>
      <c r="H14" s="20"/>
      <c r="I14" s="21" t="s">
        <v>0</v>
      </c>
      <c r="O14" s="3"/>
      <c r="P14" s="4"/>
      <c r="Q14" s="5"/>
    </row>
    <row r="15" spans="2:17" s="1" customFormat="1" ht="12" customHeight="1" thickTop="1" x14ac:dyDescent="0.15">
      <c r="C15" s="9"/>
      <c r="D15" s="9"/>
      <c r="E15" s="7"/>
      <c r="F15" s="22" t="s">
        <v>1</v>
      </c>
      <c r="G15" s="23">
        <f>+IF(G41="error",1,0)</f>
        <v>0</v>
      </c>
      <c r="H15" s="7"/>
      <c r="I15" s="24" t="s">
        <v>2</v>
      </c>
      <c r="O15" s="2"/>
      <c r="P15" s="4"/>
    </row>
    <row r="16" spans="2:17" s="1" customFormat="1" ht="12" customHeight="1" x14ac:dyDescent="0.15">
      <c r="C16" s="9"/>
      <c r="D16" s="14"/>
      <c r="E16" s="7"/>
      <c r="F16" s="25" t="s">
        <v>48</v>
      </c>
      <c r="G16" s="26">
        <f>+I16</f>
        <v>1</v>
      </c>
      <c r="H16" s="7"/>
      <c r="I16" s="27">
        <v>1</v>
      </c>
      <c r="O16" s="2"/>
      <c r="P16" s="4"/>
    </row>
    <row r="17" spans="2:16" s="1" customFormat="1" ht="12" customHeight="1" x14ac:dyDescent="0.15">
      <c r="C17" s="9"/>
      <c r="D17" s="14"/>
      <c r="E17" s="7"/>
      <c r="F17" s="25" t="s">
        <v>18</v>
      </c>
      <c r="G17" s="26">
        <f>+I18</f>
        <v>3</v>
      </c>
      <c r="H17" s="7"/>
      <c r="I17" s="28" t="s">
        <v>3</v>
      </c>
      <c r="O17" s="2"/>
      <c r="P17" s="4"/>
    </row>
    <row r="18" spans="2:16" s="1" customFormat="1" ht="12" customHeight="1" x14ac:dyDescent="0.15">
      <c r="C18" s="9"/>
      <c r="D18" s="9"/>
      <c r="E18" s="7"/>
      <c r="F18" s="25" t="s">
        <v>49</v>
      </c>
      <c r="G18" s="29">
        <f>I20</f>
        <v>176.4</v>
      </c>
      <c r="H18" s="7"/>
      <c r="I18" s="27">
        <v>3</v>
      </c>
      <c r="O18" s="2"/>
      <c r="P18" s="4"/>
    </row>
    <row r="19" spans="2:16" s="1" customFormat="1" ht="12" customHeight="1" x14ac:dyDescent="0.15">
      <c r="C19" s="9"/>
      <c r="D19" s="9"/>
      <c r="E19" s="7"/>
      <c r="F19" s="25" t="s">
        <v>50</v>
      </c>
      <c r="G19" s="30">
        <f>+I22</f>
        <v>1300</v>
      </c>
      <c r="H19" s="7"/>
      <c r="I19" s="31" t="s">
        <v>43</v>
      </c>
      <c r="O19" s="2"/>
      <c r="P19" s="4"/>
    </row>
    <row r="20" spans="2:16" s="1" customFormat="1" ht="12" customHeight="1" x14ac:dyDescent="0.15">
      <c r="C20" s="9"/>
      <c r="D20" s="9"/>
      <c r="E20" s="7"/>
      <c r="F20" s="32" t="s">
        <v>51</v>
      </c>
      <c r="G20" s="33">
        <f>+G37</f>
        <v>1300.0000000000002</v>
      </c>
      <c r="H20" s="7"/>
      <c r="I20" s="27">
        <v>176.4</v>
      </c>
      <c r="O20" s="2"/>
      <c r="P20" s="4"/>
    </row>
    <row r="21" spans="2:16" s="1" customFormat="1" ht="12" customHeight="1" x14ac:dyDescent="0.15">
      <c r="C21" s="9"/>
      <c r="D21" s="9"/>
      <c r="E21" s="7"/>
      <c r="F21" s="32" t="s">
        <v>52</v>
      </c>
      <c r="G21" s="34">
        <f>+G39</f>
        <v>9.2582989958286139E-3</v>
      </c>
      <c r="H21" s="7"/>
      <c r="I21" s="31" t="s">
        <v>44</v>
      </c>
      <c r="J21" s="7"/>
      <c r="O21" s="2"/>
      <c r="P21" s="4"/>
    </row>
    <row r="22" spans="2:16" s="1" customFormat="1" ht="12" customHeight="1" thickBot="1" x14ac:dyDescent="0.2">
      <c r="C22" s="9"/>
      <c r="D22" s="9"/>
      <c r="E22" s="7"/>
      <c r="F22" s="35" t="s">
        <v>53</v>
      </c>
      <c r="G22" s="36">
        <f>G30</f>
        <v>1338.9711679787861</v>
      </c>
      <c r="H22" s="7"/>
      <c r="I22" s="27">
        <v>1300</v>
      </c>
      <c r="J22" s="7"/>
      <c r="O22" s="2"/>
      <c r="P22" s="4"/>
    </row>
    <row r="23" spans="2:16" s="1" customFormat="1" ht="12" customHeight="1" thickBot="1" x14ac:dyDescent="0.2">
      <c r="C23" s="9"/>
      <c r="D23" s="14"/>
      <c r="E23" s="7"/>
      <c r="F23" s="9"/>
      <c r="G23" s="37"/>
      <c r="H23" s="7"/>
      <c r="I23" s="28" t="s">
        <v>45</v>
      </c>
      <c r="J23" s="7"/>
      <c r="K23" s="7"/>
      <c r="O23" s="2"/>
      <c r="P23" s="4"/>
    </row>
    <row r="24" spans="2:16" s="1" customFormat="1" ht="12" customHeight="1" x14ac:dyDescent="0.15">
      <c r="B24" s="7"/>
      <c r="C24" s="9"/>
      <c r="D24" s="14"/>
      <c r="E24" s="7"/>
      <c r="F24" s="38" t="s">
        <v>4</v>
      </c>
      <c r="G24" s="39"/>
      <c r="H24" s="7"/>
      <c r="I24" s="28">
        <f>G20</f>
        <v>1300.0000000000002</v>
      </c>
      <c r="J24" s="7"/>
      <c r="K24" s="7"/>
      <c r="O24" s="2"/>
      <c r="P24" s="4"/>
    </row>
    <row r="25" spans="2:16" s="1" customFormat="1" ht="12" customHeight="1" x14ac:dyDescent="0.15">
      <c r="B25" s="9"/>
      <c r="C25" s="9"/>
      <c r="D25" s="14"/>
      <c r="E25" s="7"/>
      <c r="F25" s="40" t="s">
        <v>5</v>
      </c>
      <c r="G25" s="41">
        <f>G17</f>
        <v>3</v>
      </c>
      <c r="H25" s="7"/>
      <c r="I25" s="28" t="s">
        <v>34</v>
      </c>
      <c r="J25" s="7"/>
      <c r="K25" s="7"/>
      <c r="O25" s="2"/>
      <c r="P25" s="4"/>
    </row>
    <row r="26" spans="2:16" s="1" customFormat="1" ht="12" customHeight="1" x14ac:dyDescent="0.15">
      <c r="B26" s="9"/>
      <c r="C26" s="7"/>
      <c r="D26" s="9"/>
      <c r="E26" s="7"/>
      <c r="F26" s="42" t="s">
        <v>6</v>
      </c>
      <c r="G26" s="43"/>
      <c r="H26" s="7"/>
      <c r="I26" s="44">
        <f>G21</f>
        <v>9.2582989958286139E-3</v>
      </c>
      <c r="J26" s="7"/>
      <c r="O26" s="2"/>
      <c r="P26" s="4"/>
    </row>
    <row r="27" spans="2:16" s="1" customFormat="1" ht="12" customHeight="1" x14ac:dyDescent="0.15">
      <c r="B27" s="9"/>
      <c r="C27" s="7"/>
      <c r="D27" s="9"/>
      <c r="E27" s="7"/>
      <c r="F27" s="45" t="s">
        <v>7</v>
      </c>
      <c r="G27" s="43"/>
      <c r="H27" s="7"/>
      <c r="I27" s="46" t="s">
        <v>46</v>
      </c>
      <c r="J27" s="7"/>
      <c r="K27" s="7"/>
      <c r="O27" s="2"/>
      <c r="P27" s="4"/>
    </row>
    <row r="28" spans="2:16" s="1" customFormat="1" ht="12" customHeight="1" thickBot="1" x14ac:dyDescent="0.25">
      <c r="B28" s="9"/>
      <c r="C28" s="7"/>
      <c r="E28" s="7"/>
      <c r="F28" s="47" t="s">
        <v>47</v>
      </c>
      <c r="G28" s="48"/>
      <c r="H28" s="7"/>
      <c r="I28" s="28">
        <f>G22</f>
        <v>1338.9711679787861</v>
      </c>
      <c r="J28" s="7"/>
      <c r="K28" s="7"/>
    </row>
    <row r="29" spans="2:16" s="1" customFormat="1" ht="12" customHeight="1" thickBot="1" x14ac:dyDescent="0.25">
      <c r="B29" s="9"/>
      <c r="C29" s="7"/>
      <c r="E29" s="7"/>
      <c r="F29" s="9"/>
      <c r="G29" s="37"/>
      <c r="H29" s="7"/>
      <c r="I29" s="46" t="s">
        <v>1</v>
      </c>
      <c r="J29" s="7"/>
    </row>
    <row r="30" spans="2:16" s="1" customFormat="1" ht="12" customHeight="1" thickBot="1" x14ac:dyDescent="0.25">
      <c r="B30" s="9"/>
      <c r="C30" s="7"/>
      <c r="E30" s="7"/>
      <c r="F30" s="49" t="s">
        <v>54</v>
      </c>
      <c r="G30" s="50">
        <f>IF(G16=0,G44,
IF(G25&lt;=3, 60*1000*(-G56*(G48/G47)-SQRT((G56*(G48/G47))^2-4*G55*(G57*(G48/G47)^2-G18)))/(2*G55),G44))</f>
        <v>1338.9711679787861</v>
      </c>
      <c r="H30" s="7"/>
      <c r="I30" s="51">
        <f>G15</f>
        <v>0</v>
      </c>
      <c r="J30" s="7"/>
    </row>
    <row r="31" spans="2:16" s="1" customFormat="1" ht="12" customHeight="1" x14ac:dyDescent="0.2">
      <c r="B31" s="9"/>
      <c r="C31" s="7"/>
      <c r="E31" s="7"/>
      <c r="F31" s="52" t="s">
        <v>55</v>
      </c>
      <c r="G31" s="53">
        <f>+IF(G16=0,0, IF(G25&lt;=2,G47, (-G56*G19/60/1000+SQRT((G56*G19/60/1000)^2-4*G57*(G55*(G19/60/1000)^2-G18)))/(2*G57)*G47))</f>
        <v>49.360174527773701</v>
      </c>
      <c r="H31" s="7"/>
      <c r="J31" s="7"/>
    </row>
    <row r="32" spans="2:16" s="1" customFormat="1" ht="12" customHeight="1" x14ac:dyDescent="0.2">
      <c r="B32" s="9"/>
      <c r="C32" s="7"/>
      <c r="E32" s="7"/>
      <c r="F32" s="54" t="s">
        <v>56</v>
      </c>
      <c r="G32" s="55">
        <f>+IF(G16=0,0, MAX(G49, MIN(G48,G31)))</f>
        <v>49.360174527773701</v>
      </c>
      <c r="H32" s="7"/>
      <c r="J32" s="7"/>
    </row>
    <row r="33" spans="2:13" s="1" customFormat="1" ht="12" customHeight="1" x14ac:dyDescent="0.2">
      <c r="B33" s="9"/>
      <c r="C33" s="7"/>
      <c r="E33" s="7"/>
      <c r="F33" s="52" t="s">
        <v>57</v>
      </c>
      <c r="G33" s="53">
        <f>+IF(G16=0,0, IF(G25=3, 60*1000*(-G56*(G32/G47)-SQRT((G56*(G32/G47))^2-4*G55*(G57*(G32/G47)^2-G18)))/(2*G55),  IF(G25=4, 60*1000*(-G56*(G32/G47)-SQRT((G56*(G32/G47))^2-4*(G55-(G45-G46)/(G44/60/1000)^2)*(G57*(G32/G47)^2-G46)))/(2*(G55-(G45-G46)/(G44/60/1000)^2)),G30)))</f>
        <v>1300.0000000000002</v>
      </c>
      <c r="H33" s="7"/>
      <c r="J33" s="7"/>
      <c r="K33" s="7"/>
    </row>
    <row r="34" spans="2:13" s="1" customFormat="1" ht="12" customHeight="1" x14ac:dyDescent="0.2">
      <c r="B34" s="9"/>
      <c r="C34" s="7"/>
      <c r="E34" s="7"/>
      <c r="F34" s="56" t="s">
        <v>76</v>
      </c>
      <c r="G34" s="57">
        <f>(G33/G44)/(G32/G47)</f>
        <v>0.98347980075933727</v>
      </c>
      <c r="H34" s="7"/>
      <c r="J34" s="7"/>
      <c r="K34" s="7"/>
    </row>
    <row r="35" spans="2:13" s="1" customFormat="1" ht="12" customHeight="1" x14ac:dyDescent="0.2">
      <c r="B35" s="9"/>
      <c r="C35" s="7"/>
      <c r="E35" s="7"/>
      <c r="F35" s="58" t="s">
        <v>77</v>
      </c>
      <c r="G35" s="59">
        <f>IF(G16=0,G51*(G44/60/1000)^3+G52*(G44/60/1000)^2+G53*G44/60/1000+G54,G51*(G44/60/1000*G34)^3+G52*(G44/60/1000*G34)^2+G53*G44/60/1000*G34+G54)</f>
        <v>0.71660631476605052</v>
      </c>
      <c r="H35" s="7"/>
      <c r="J35" s="7"/>
      <c r="K35" s="7"/>
    </row>
    <row r="36" spans="2:13" s="1" customFormat="1" ht="12" customHeight="1" x14ac:dyDescent="0.2">
      <c r="B36" s="9"/>
      <c r="C36" s="7"/>
      <c r="E36" s="7"/>
      <c r="F36" s="54" t="s">
        <v>58</v>
      </c>
      <c r="G36" s="60">
        <f>IF(G16=0,0,+G58*(G33*G18/60000/G35/G50)+G59)</f>
        <v>5.9260804421644968</v>
      </c>
      <c r="H36" s="7"/>
      <c r="J36" s="7"/>
      <c r="K36" s="7"/>
    </row>
    <row r="37" spans="2:13" s="1" customFormat="1" ht="12" customHeight="1" x14ac:dyDescent="0.2">
      <c r="B37" s="13"/>
      <c r="C37" s="7"/>
      <c r="E37" s="7"/>
      <c r="F37" s="54" t="s">
        <v>59</v>
      </c>
      <c r="G37" s="55">
        <f>+IF(G16=0,0, +G16*G33)</f>
        <v>1300.0000000000002</v>
      </c>
      <c r="H37" s="7"/>
      <c r="J37" s="7"/>
      <c r="K37" s="7"/>
    </row>
    <row r="38" spans="2:13" s="1" customFormat="1" ht="12" customHeight="1" x14ac:dyDescent="0.2">
      <c r="B38" s="13"/>
      <c r="C38" s="7"/>
      <c r="E38" s="7"/>
      <c r="F38" s="52" t="s">
        <v>60</v>
      </c>
      <c r="G38" s="61">
        <f>IF(G16=0,0, +G36*G16)</f>
        <v>5.9260804421644968</v>
      </c>
      <c r="H38" s="7"/>
      <c r="J38" s="7"/>
      <c r="K38" s="7"/>
    </row>
    <row r="39" spans="2:13" s="1" customFormat="1" ht="12" customHeight="1" x14ac:dyDescent="0.2">
      <c r="B39" s="9"/>
      <c r="C39" s="7"/>
      <c r="E39" s="7"/>
      <c r="F39" s="54" t="s">
        <v>61</v>
      </c>
      <c r="G39" s="62">
        <f>+IF(G16=0,0, (1-G35)*G38/2/(G20/60*4.18605))</f>
        <v>9.2582989958286139E-3</v>
      </c>
      <c r="J39" s="7"/>
      <c r="K39" s="7"/>
    </row>
    <row r="40" spans="2:13" s="1" customFormat="1" ht="12" customHeight="1" x14ac:dyDescent="0.2">
      <c r="B40" s="9"/>
      <c r="C40" s="7"/>
      <c r="D40" s="9"/>
      <c r="E40" s="7"/>
      <c r="F40" s="63" t="s">
        <v>29</v>
      </c>
      <c r="G40" s="64">
        <f>IF($C$4=1,0,+IF(G16=0,0,IF(G32&gt;G48,2,0)))</f>
        <v>0</v>
      </c>
      <c r="H40" s="14"/>
      <c r="I40" s="65"/>
      <c r="J40" s="7"/>
      <c r="K40" s="7"/>
    </row>
    <row r="41" spans="2:13" s="1" customFormat="1" ht="12" customHeight="1" thickBot="1" x14ac:dyDescent="0.25">
      <c r="B41" s="9"/>
      <c r="C41" s="7"/>
      <c r="D41" s="9"/>
      <c r="E41" s="7"/>
      <c r="F41" s="66" t="s">
        <v>35</v>
      </c>
      <c r="G41" s="67" t="str">
        <f>IF(ISERR(FIND(2,G40))=TRUE, IF(ISERR(FIND(1,G40))=TRUE,"good","warning"),"error")</f>
        <v>good</v>
      </c>
      <c r="I41" s="65"/>
      <c r="J41" s="7"/>
      <c r="K41" s="7"/>
    </row>
    <row r="42" spans="2:13" s="1" customFormat="1" ht="12" customHeight="1" thickBot="1" x14ac:dyDescent="0.25">
      <c r="C42" s="7"/>
      <c r="D42" s="9"/>
      <c r="E42" s="16"/>
      <c r="F42" s="9"/>
      <c r="G42" s="37"/>
      <c r="J42" s="7"/>
      <c r="K42" s="7"/>
    </row>
    <row r="43" spans="2:13" s="1" customFormat="1" ht="12" customHeight="1" thickBot="1" x14ac:dyDescent="0.25">
      <c r="C43" s="7"/>
      <c r="D43" s="9"/>
      <c r="E43" s="16"/>
      <c r="F43" s="68" t="s">
        <v>8</v>
      </c>
      <c r="G43" s="69"/>
      <c r="J43" s="7"/>
    </row>
    <row r="44" spans="2:13" s="1" customFormat="1" ht="12" customHeight="1" thickBot="1" x14ac:dyDescent="0.25">
      <c r="C44" s="7"/>
      <c r="D44" s="14"/>
      <c r="E44" s="16"/>
      <c r="F44" s="70" t="s">
        <v>78</v>
      </c>
      <c r="G44" s="71">
        <v>1338.9711679787861</v>
      </c>
      <c r="J44" s="7"/>
      <c r="L44" s="72" t="s">
        <v>78</v>
      </c>
      <c r="M44" s="73">
        <f>60*1000*(-G56*1-((G56*1)^2-4*G55*(G57*1^2-G45))^0.5)/(2*G55)</f>
        <v>1338.9711679787861</v>
      </c>
    </row>
    <row r="45" spans="2:13" s="1" customFormat="1" ht="12" customHeight="1" x14ac:dyDescent="0.2">
      <c r="C45" s="7"/>
      <c r="D45" s="14"/>
      <c r="E45" s="16"/>
      <c r="F45" s="70" t="s">
        <v>62</v>
      </c>
      <c r="G45" s="71">
        <v>176.4</v>
      </c>
      <c r="J45" s="7"/>
    </row>
    <row r="46" spans="2:13" s="1" customFormat="1" ht="12" customHeight="1" x14ac:dyDescent="0.2">
      <c r="C46" s="7"/>
      <c r="D46" s="9"/>
      <c r="E46" s="16"/>
      <c r="F46" s="70" t="s">
        <v>63</v>
      </c>
      <c r="G46" s="71">
        <v>50</v>
      </c>
    </row>
    <row r="47" spans="2:13" s="1" customFormat="1" ht="12" customHeight="1" x14ac:dyDescent="0.2">
      <c r="E47" s="7"/>
      <c r="F47" s="70" t="s">
        <v>64</v>
      </c>
      <c r="G47" s="74">
        <v>50</v>
      </c>
      <c r="L47" s="1" t="s">
        <v>67</v>
      </c>
      <c r="M47" s="9"/>
    </row>
    <row r="48" spans="2:13" s="1" customFormat="1" ht="12" customHeight="1" x14ac:dyDescent="0.2">
      <c r="E48" s="7"/>
      <c r="F48" s="70" t="s">
        <v>65</v>
      </c>
      <c r="G48" s="74">
        <v>50</v>
      </c>
      <c r="L48" s="1" t="s">
        <v>68</v>
      </c>
      <c r="M48" s="9"/>
    </row>
    <row r="49" spans="5:13" s="1" customFormat="1" ht="12" customHeight="1" x14ac:dyDescent="0.2">
      <c r="E49" s="7"/>
      <c r="F49" s="70" t="s">
        <v>66</v>
      </c>
      <c r="G49" s="74">
        <v>20</v>
      </c>
      <c r="L49" s="75" t="str">
        <f>IF(ISERROR(SUM(G51:G57)),"※正しくコピーアンドペースト出来ていません。",IF(SUM(G51:G57)&lt;&gt;SUM(M51:M57),"※オブジェクト属性部が作成した属性部と違います。値をコピーアンドペーストしてください。",
"※現在はオブジェクト属性部へ正しくコピーされています。"))</f>
        <v>※現在はオブジェクト属性部へ正しくコピーされています。</v>
      </c>
    </row>
    <row r="50" spans="5:13" s="1" customFormat="1" ht="12" customHeight="1" thickBot="1" x14ac:dyDescent="0.25">
      <c r="E50" s="7"/>
      <c r="F50" s="70" t="s">
        <v>75</v>
      </c>
      <c r="G50" s="76">
        <v>0.9</v>
      </c>
      <c r="L50" s="17"/>
      <c r="M50" s="77"/>
    </row>
    <row r="51" spans="5:13" s="1" customFormat="1" ht="12" customHeight="1" x14ac:dyDescent="0.2">
      <c r="E51" s="7"/>
      <c r="F51" s="70" t="s">
        <v>84</v>
      </c>
      <c r="G51" s="71">
        <v>87682.404624732357</v>
      </c>
      <c r="L51" s="78" t="s">
        <v>84</v>
      </c>
      <c r="M51" s="79">
        <f>INDEX(LINEST(C67:C71,H67:H71^{1,2,3}),1)</f>
        <v>87682.404624732357</v>
      </c>
    </row>
    <row r="52" spans="5:13" s="1" customFormat="1" ht="12" customHeight="1" x14ac:dyDescent="0.2">
      <c r="E52" s="7"/>
      <c r="F52" s="70" t="s">
        <v>69</v>
      </c>
      <c r="G52" s="71">
        <v>-5970.1157390811259</v>
      </c>
      <c r="L52" s="80" t="s">
        <v>69</v>
      </c>
      <c r="M52" s="79">
        <f>INDEX(LINEST(C67:C71,H67:H71^{1,2,3}),2)</f>
        <v>-5970.1157390811259</v>
      </c>
    </row>
    <row r="53" spans="5:13" s="1" customFormat="1" ht="12" customHeight="1" x14ac:dyDescent="0.2">
      <c r="E53" s="7"/>
      <c r="F53" s="70" t="s">
        <v>70</v>
      </c>
      <c r="G53" s="71">
        <v>121.39909262656047</v>
      </c>
      <c r="L53" s="80" t="s">
        <v>70</v>
      </c>
      <c r="M53" s="79">
        <f>INDEX(LINEST(C67:C71,H67:H71^{1,2,3}),3)</f>
        <v>121.39909262656047</v>
      </c>
    </row>
    <row r="54" spans="5:13" s="1" customFormat="1" ht="12" customHeight="1" x14ac:dyDescent="0.2">
      <c r="E54" s="7"/>
      <c r="F54" s="70" t="s">
        <v>71</v>
      </c>
      <c r="G54" s="71">
        <v>9.8733744921719602E-4</v>
      </c>
      <c r="L54" s="80" t="s">
        <v>71</v>
      </c>
      <c r="M54" s="79">
        <f>INDEX(LINEST(C67:C71,H67:H71^{1,2,3}),4)</f>
        <v>9.8733744921719602E-4</v>
      </c>
    </row>
    <row r="55" spans="5:13" s="1" customFormat="1" ht="12" customHeight="1" x14ac:dyDescent="0.2">
      <c r="E55" s="7"/>
      <c r="F55" s="70" t="s">
        <v>72</v>
      </c>
      <c r="G55" s="71">
        <v>-290326.08076724375</v>
      </c>
      <c r="L55" s="80" t="s">
        <v>72</v>
      </c>
      <c r="M55" s="79">
        <f>INDEX(LINEST(I67:I71,H67:H71^{1,2}),1)</f>
        <v>-290326.08076724375</v>
      </c>
    </row>
    <row r="56" spans="5:13" s="1" customFormat="1" ht="12" customHeight="1" x14ac:dyDescent="0.2">
      <c r="E56" s="7"/>
      <c r="F56" s="70" t="s">
        <v>73</v>
      </c>
      <c r="G56" s="71">
        <v>366.04361293440638</v>
      </c>
      <c r="L56" s="80" t="s">
        <v>73</v>
      </c>
      <c r="M56" s="79">
        <f>INDEX(LINEST(I67:I71,H67:H71^{1,2}),2)</f>
        <v>366.04361293440638</v>
      </c>
    </row>
    <row r="57" spans="5:13" s="1" customFormat="1" ht="12" customHeight="1" thickBot="1" x14ac:dyDescent="0.25">
      <c r="E57" s="7"/>
      <c r="F57" s="70" t="s">
        <v>74</v>
      </c>
      <c r="G57" s="71">
        <v>312.81722221066684</v>
      </c>
      <c r="L57" s="81" t="s">
        <v>74</v>
      </c>
      <c r="M57" s="82">
        <f>INDEX(LINEST(I67:I71,H67:H71^{1,2}),3)</f>
        <v>312.81722221066684</v>
      </c>
    </row>
    <row r="58" spans="5:13" s="1" customFormat="1" ht="12" customHeight="1" x14ac:dyDescent="0.2">
      <c r="E58" s="7"/>
      <c r="F58" s="70" t="s">
        <v>9</v>
      </c>
      <c r="G58" s="83">
        <v>1</v>
      </c>
    </row>
    <row r="59" spans="5:13" s="1" customFormat="1" ht="12" customHeight="1" thickBot="1" x14ac:dyDescent="0.25">
      <c r="E59" s="7"/>
      <c r="F59" s="84" t="s">
        <v>10</v>
      </c>
      <c r="G59" s="85">
        <v>0</v>
      </c>
      <c r="J59" s="7"/>
    </row>
    <row r="60" spans="5:13" s="1" customFormat="1" ht="12" customHeight="1" x14ac:dyDescent="0.2">
      <c r="E60" s="7"/>
      <c r="I60" s="86" t="s">
        <v>25</v>
      </c>
      <c r="J60" s="7"/>
    </row>
    <row r="61" spans="5:13" s="1" customFormat="1" ht="12" customHeight="1" x14ac:dyDescent="0.2">
      <c r="E61" s="7"/>
      <c r="I61" s="86">
        <v>0</v>
      </c>
      <c r="J61" s="16" t="s">
        <v>26</v>
      </c>
    </row>
    <row r="62" spans="5:13" s="1" customFormat="1" ht="12" customHeight="1" x14ac:dyDescent="0.2">
      <c r="E62" s="7"/>
      <c r="I62" s="86">
        <v>1</v>
      </c>
      <c r="J62" s="16" t="s">
        <v>27</v>
      </c>
    </row>
    <row r="63" spans="5:13" s="1" customFormat="1" ht="12" customHeight="1" x14ac:dyDescent="0.2">
      <c r="E63" s="7"/>
      <c r="I63" s="86">
        <v>2</v>
      </c>
      <c r="J63" s="16" t="s">
        <v>28</v>
      </c>
    </row>
    <row r="64" spans="5:13" s="1" customFormat="1" ht="12" customHeight="1" x14ac:dyDescent="0.2">
      <c r="E64" s="7"/>
      <c r="I64" s="87" t="s">
        <v>30</v>
      </c>
      <c r="J64" s="7"/>
    </row>
    <row r="65" spans="3:11" s="1" customFormat="1" ht="18.75" customHeight="1" thickBot="1" x14ac:dyDescent="0.25">
      <c r="D65" s="88" t="s">
        <v>11</v>
      </c>
      <c r="J65" s="7"/>
    </row>
    <row r="66" spans="3:11" s="1" customFormat="1" ht="15.9" customHeight="1" thickBot="1" x14ac:dyDescent="0.25">
      <c r="C66" s="89" t="s">
        <v>15</v>
      </c>
      <c r="D66" s="90" t="s">
        <v>12</v>
      </c>
      <c r="E66" s="91" t="s">
        <v>13</v>
      </c>
      <c r="F66" s="91" t="s">
        <v>80</v>
      </c>
      <c r="G66" s="92" t="s">
        <v>36</v>
      </c>
      <c r="H66" s="91" t="s">
        <v>79</v>
      </c>
      <c r="I66" s="93" t="s">
        <v>37</v>
      </c>
      <c r="J66" s="7"/>
    </row>
    <row r="67" spans="3:11" s="1" customFormat="1" ht="15.9" customHeight="1" x14ac:dyDescent="0.2">
      <c r="C67" s="94">
        <v>0</v>
      </c>
      <c r="D67" s="95" t="s">
        <v>14</v>
      </c>
      <c r="E67" s="96" t="s">
        <v>31</v>
      </c>
      <c r="F67" s="97">
        <v>0</v>
      </c>
      <c r="G67" s="98">
        <v>31.9</v>
      </c>
      <c r="H67" s="99">
        <f>+F67/60/1000</f>
        <v>0</v>
      </c>
      <c r="I67" s="100">
        <f>+G67*9.8</f>
        <v>312.62</v>
      </c>
      <c r="J67" s="7"/>
    </row>
    <row r="68" spans="3:11" s="1" customFormat="1" ht="15.9" customHeight="1" x14ac:dyDescent="0.2">
      <c r="C68" s="94">
        <v>0.59</v>
      </c>
      <c r="D68" s="101"/>
      <c r="E68" s="102">
        <v>2</v>
      </c>
      <c r="F68" s="103">
        <v>417</v>
      </c>
      <c r="G68" s="104">
        <v>30.8</v>
      </c>
      <c r="H68" s="105">
        <f t="shared" ref="H68:H71" si="0">+F68/60/1000</f>
        <v>6.9500000000000004E-3</v>
      </c>
      <c r="I68" s="106">
        <f>+G68*9.8</f>
        <v>301.84000000000003</v>
      </c>
      <c r="J68" s="7"/>
    </row>
    <row r="69" spans="3:11" s="1" customFormat="1" ht="15.9" customHeight="1" x14ac:dyDescent="0.2">
      <c r="C69" s="94">
        <v>0.76300000000000001</v>
      </c>
      <c r="D69" s="101"/>
      <c r="E69" s="102">
        <v>3</v>
      </c>
      <c r="F69" s="103">
        <v>833</v>
      </c>
      <c r="G69" s="104">
        <v>26.7</v>
      </c>
      <c r="H69" s="105">
        <f t="shared" si="0"/>
        <v>1.3883333333333333E-2</v>
      </c>
      <c r="I69" s="106">
        <f>+G69*9.8</f>
        <v>261.66000000000003</v>
      </c>
      <c r="J69" s="7"/>
    </row>
    <row r="70" spans="3:11" s="1" customFormat="1" ht="15.9" customHeight="1" x14ac:dyDescent="0.2">
      <c r="C70" s="94">
        <v>0.74099999999999999</v>
      </c>
      <c r="D70" s="101"/>
      <c r="E70" s="102">
        <v>4</v>
      </c>
      <c r="F70" s="103">
        <v>1250</v>
      </c>
      <c r="G70" s="104">
        <v>19.8</v>
      </c>
      <c r="H70" s="105">
        <f t="shared" si="0"/>
        <v>2.0833333333333332E-2</v>
      </c>
      <c r="I70" s="106">
        <f>+G70*9.8</f>
        <v>194.04000000000002</v>
      </c>
      <c r="J70" s="7"/>
      <c r="K70" s="7"/>
    </row>
    <row r="71" spans="3:11" s="1" customFormat="1" ht="15.9" customHeight="1" thickBot="1" x14ac:dyDescent="0.25">
      <c r="C71" s="107">
        <v>0.69199999999999995</v>
      </c>
      <c r="D71" s="108"/>
      <c r="E71" s="109" t="s">
        <v>32</v>
      </c>
      <c r="F71" s="110">
        <v>1400</v>
      </c>
      <c r="G71" s="111">
        <v>16.7</v>
      </c>
      <c r="H71" s="112">
        <f t="shared" si="0"/>
        <v>2.3333333333333331E-2</v>
      </c>
      <c r="I71" s="113">
        <f>+G71*9.8</f>
        <v>163.66</v>
      </c>
      <c r="J71" s="7"/>
      <c r="K71" s="7"/>
    </row>
    <row r="72" spans="3:11" s="1" customFormat="1" ht="12" customHeight="1" x14ac:dyDescent="0.2">
      <c r="K72" s="7"/>
    </row>
    <row r="73" spans="3:11" s="1" customFormat="1" ht="20.25" customHeight="1" x14ac:dyDescent="0.2">
      <c r="F73" s="1" t="s">
        <v>16</v>
      </c>
      <c r="G73" s="1" t="s">
        <v>17</v>
      </c>
      <c r="K73" s="7"/>
    </row>
    <row r="74" spans="3:11" s="1" customFormat="1" ht="18.75" customHeight="1" x14ac:dyDescent="0.2">
      <c r="K74" s="7"/>
    </row>
    <row r="75" spans="3:11" s="1" customFormat="1" ht="18" customHeight="1" x14ac:dyDescent="0.2">
      <c r="D75" s="1" t="s">
        <v>19</v>
      </c>
      <c r="K75" s="7"/>
    </row>
    <row r="76" spans="3:11" s="1" customFormat="1" ht="12" customHeight="1" x14ac:dyDescent="0.2">
      <c r="D76" s="114" t="s">
        <v>20</v>
      </c>
      <c r="E76" s="115" t="s">
        <v>38</v>
      </c>
      <c r="F76" s="114" t="s">
        <v>82</v>
      </c>
      <c r="G76" s="115" t="s">
        <v>39</v>
      </c>
      <c r="H76" s="116" t="s">
        <v>40</v>
      </c>
      <c r="I76" s="117" t="s">
        <v>41</v>
      </c>
      <c r="K76" s="7"/>
    </row>
    <row r="77" spans="3:11" s="1" customFormat="1" ht="12" customHeight="1" x14ac:dyDescent="0.2">
      <c r="D77" s="102" t="s">
        <v>21</v>
      </c>
      <c r="E77" s="118">
        <f>G46</f>
        <v>50</v>
      </c>
      <c r="F77" s="102">
        <f>+G44</f>
        <v>1338.9711679787861</v>
      </c>
      <c r="G77" s="118">
        <f>G45-G46</f>
        <v>126.4</v>
      </c>
      <c r="H77" s="119">
        <f>+F77/60</f>
        <v>22.316186132979769</v>
      </c>
      <c r="I77" s="118">
        <f>G45</f>
        <v>176.4</v>
      </c>
      <c r="J77" s="7"/>
      <c r="K77" s="7"/>
    </row>
    <row r="78" spans="3:11" s="1" customFormat="1" ht="12" customHeight="1" x14ac:dyDescent="0.2">
      <c r="D78" s="114" t="s">
        <v>12</v>
      </c>
      <c r="E78" s="114" t="s">
        <v>13</v>
      </c>
      <c r="F78" s="114" t="s">
        <v>81</v>
      </c>
      <c r="G78" s="114" t="s">
        <v>83</v>
      </c>
      <c r="H78" s="116" t="s">
        <v>42</v>
      </c>
      <c r="I78" s="7"/>
      <c r="J78" s="7"/>
      <c r="K78" s="7"/>
    </row>
    <row r="79" spans="3:11" s="1" customFormat="1" ht="12" customHeight="1" x14ac:dyDescent="0.2">
      <c r="D79" s="120" t="s">
        <v>22</v>
      </c>
      <c r="E79" s="102" t="s">
        <v>33</v>
      </c>
      <c r="F79" s="102">
        <f>F82*0.5</f>
        <v>669.48558398939304</v>
      </c>
      <c r="G79" s="119">
        <f>+F79/60/1000</f>
        <v>1.1158093066489884E-2</v>
      </c>
      <c r="H79" s="121">
        <f>G55*G79^2+G56*G79+G57</f>
        <v>280.75509100775827</v>
      </c>
      <c r="I79" s="122"/>
      <c r="J79" s="7"/>
      <c r="K79" s="7"/>
    </row>
    <row r="80" spans="3:11" s="1" customFormat="1" ht="12" customHeight="1" x14ac:dyDescent="0.2">
      <c r="D80" s="123"/>
      <c r="E80" s="102">
        <v>2</v>
      </c>
      <c r="F80" s="102">
        <f>F82*0.6</f>
        <v>803.38270078727157</v>
      </c>
      <c r="G80" s="119">
        <f t="shared" ref="G80:G83" si="1">+F80/60/1000</f>
        <v>1.338971167978786E-2</v>
      </c>
      <c r="H80" s="121">
        <f>G55*G80^2+G56*G80+G57</f>
        <v>265.66750959059459</v>
      </c>
      <c r="I80" s="122"/>
      <c r="J80" s="7"/>
      <c r="K80" s="7"/>
    </row>
    <row r="81" spans="3:11" s="1" customFormat="1" ht="12" customHeight="1" x14ac:dyDescent="0.2">
      <c r="D81" s="123"/>
      <c r="E81" s="102">
        <v>3</v>
      </c>
      <c r="F81" s="102">
        <f>F82*0.8</f>
        <v>1071.176934383029</v>
      </c>
      <c r="G81" s="119">
        <f t="shared" si="1"/>
        <v>1.7852948906383816E-2</v>
      </c>
      <c r="H81" s="121">
        <f>G55*G81^2+G56*G81+G57</f>
        <v>226.81719157968524</v>
      </c>
      <c r="I81" s="122"/>
      <c r="J81" s="7"/>
      <c r="K81" s="7"/>
    </row>
    <row r="82" spans="3:11" s="1" customFormat="1" ht="12" customHeight="1" x14ac:dyDescent="0.2">
      <c r="D82" s="123"/>
      <c r="E82" s="102" t="s">
        <v>23</v>
      </c>
      <c r="F82" s="102">
        <f>F77</f>
        <v>1338.9711679787861</v>
      </c>
      <c r="G82" s="119">
        <f t="shared" si="1"/>
        <v>2.2316186132979768E-2</v>
      </c>
      <c r="H82" s="121">
        <f>G55*G82^2+G56*G82+G57</f>
        <v>176.4</v>
      </c>
      <c r="I82" s="122"/>
      <c r="K82" s="7"/>
    </row>
    <row r="83" spans="3:11" s="1" customFormat="1" ht="12" customHeight="1" x14ac:dyDescent="0.2">
      <c r="D83" s="124"/>
      <c r="E83" s="102" t="s">
        <v>24</v>
      </c>
      <c r="F83" s="102">
        <f>1.2*F82</f>
        <v>1606.7654015745431</v>
      </c>
      <c r="G83" s="119">
        <f t="shared" si="1"/>
        <v>2.677942335957572E-2</v>
      </c>
      <c r="H83" s="121">
        <f>G55*G83^2+G56*G83+G57</f>
        <v>114.41593485153876</v>
      </c>
      <c r="I83" s="122"/>
      <c r="K83" s="7"/>
    </row>
    <row r="84" spans="3:11" s="1" customFormat="1" ht="12" customHeight="1" x14ac:dyDescent="0.2">
      <c r="K84" s="7"/>
    </row>
    <row r="85" spans="3:11" s="1" customFormat="1" ht="12" customHeight="1" x14ac:dyDescent="0.2">
      <c r="F85" s="125"/>
      <c r="K85" s="7"/>
    </row>
    <row r="86" spans="3:11" s="1" customFormat="1" ht="12" customHeight="1" x14ac:dyDescent="0.2">
      <c r="D86" s="16"/>
      <c r="E86" s="126"/>
      <c r="F86" s="10"/>
      <c r="G86" s="16"/>
      <c r="H86" s="16"/>
      <c r="I86" s="16"/>
      <c r="K86" s="7"/>
    </row>
    <row r="87" spans="3:11" s="1" customFormat="1" ht="12" customHeight="1" x14ac:dyDescent="0.2">
      <c r="D87" s="16"/>
      <c r="E87" s="14"/>
      <c r="F87" s="126"/>
      <c r="G87" s="16"/>
      <c r="H87" s="16"/>
      <c r="I87" s="16"/>
      <c r="K87" s="7"/>
    </row>
    <row r="88" spans="3:11" s="1" customFormat="1" ht="12" customHeight="1" x14ac:dyDescent="0.2">
      <c r="C88" s="127"/>
      <c r="D88" s="127"/>
      <c r="E88" s="14"/>
      <c r="F88" s="126"/>
      <c r="G88" s="128"/>
      <c r="H88" s="128"/>
      <c r="I88" s="128"/>
      <c r="K88" s="7"/>
    </row>
    <row r="89" spans="3:11" s="1" customFormat="1" ht="12" customHeight="1" x14ac:dyDescent="0.2">
      <c r="D89" s="129"/>
      <c r="E89" s="126"/>
      <c r="G89" s="129"/>
      <c r="H89" s="16"/>
      <c r="I89" s="129"/>
      <c r="K89" s="7"/>
    </row>
    <row r="90" spans="3:11" s="1" customFormat="1" ht="12" customHeight="1" x14ac:dyDescent="0.2">
      <c r="D90" s="129"/>
      <c r="E90" s="14"/>
      <c r="G90" s="129"/>
      <c r="H90" s="16"/>
      <c r="I90" s="129"/>
      <c r="J90" s="7"/>
      <c r="K90" s="7"/>
    </row>
    <row r="91" spans="3:11" s="1" customFormat="1" ht="12" customHeight="1" x14ac:dyDescent="0.2">
      <c r="D91" s="16"/>
      <c r="E91" s="14"/>
      <c r="G91" s="16"/>
      <c r="H91" s="16"/>
      <c r="I91" s="16"/>
      <c r="J91" s="7"/>
      <c r="K91" s="7"/>
    </row>
    <row r="92" spans="3:11" s="1" customFormat="1" ht="12" customHeight="1" x14ac:dyDescent="0.2">
      <c r="D92" s="16"/>
      <c r="E92" s="14"/>
      <c r="G92" s="16"/>
      <c r="H92" s="16"/>
      <c r="I92" s="16"/>
      <c r="J92" s="7"/>
      <c r="K92" s="7"/>
    </row>
    <row r="93" spans="3:11" s="1" customFormat="1" ht="12" customHeight="1" x14ac:dyDescent="0.2">
      <c r="D93" s="16"/>
      <c r="E93" s="87"/>
      <c r="G93" s="16"/>
      <c r="H93" s="16"/>
      <c r="I93" s="16"/>
      <c r="J93" s="7"/>
      <c r="K93" s="7"/>
    </row>
    <row r="94" spans="3:11" s="1" customFormat="1" ht="12" customHeight="1" x14ac:dyDescent="0.2">
      <c r="D94" s="16"/>
      <c r="E94" s="16"/>
      <c r="F94" s="16"/>
      <c r="G94" s="16"/>
      <c r="H94" s="16"/>
      <c r="I94" s="16"/>
      <c r="J94" s="7"/>
      <c r="K94" s="7"/>
    </row>
    <row r="95" spans="3:11" s="1" customFormat="1" ht="12" customHeight="1" x14ac:dyDescent="0.2">
      <c r="J95" s="7"/>
      <c r="K95" s="7"/>
    </row>
    <row r="96" spans="3:11" s="1" customFormat="1" ht="12" customHeight="1" x14ac:dyDescent="0.2"/>
    <row r="97" s="1" customFormat="1" ht="12" customHeight="1" x14ac:dyDescent="0.2"/>
    <row r="98" s="1" customFormat="1" ht="12" customHeight="1" x14ac:dyDescent="0.2"/>
    <row r="99" s="1" customFormat="1" ht="12" customHeight="1" x14ac:dyDescent="0.2"/>
    <row r="100" s="1" customFormat="1" ht="12" customHeight="1" x14ac:dyDescent="0.2"/>
    <row r="101" s="1" customFormat="1" ht="12" customHeight="1" x14ac:dyDescent="0.2"/>
    <row r="102" s="1" customFormat="1" ht="12" customHeight="1" x14ac:dyDescent="0.2"/>
    <row r="103" s="1" customFormat="1" ht="12" customHeight="1" x14ac:dyDescent="0.2"/>
    <row r="104" s="1" customFormat="1" ht="12" customHeight="1" x14ac:dyDescent="0.2"/>
  </sheetData>
  <sheetProtection algorithmName="SHA-512" hashValue="Uf54C0kZEO4SvlAg+zYsih0qNx1rH7vg7tNStz0a9M5oQIzxurv3oAjOSx2XARh7GnN2PgV2unGCApgj0M0taA==" saltValue="VUH/6NokbDyDktgtEJhHGQ==" spinCount="100000" sheet="1" objects="1" scenarios="1"/>
  <mergeCells count="4">
    <mergeCell ref="D79:D83"/>
    <mergeCell ref="D67:D71"/>
    <mergeCell ref="F24:G24"/>
    <mergeCell ref="G25:G28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冷温水二次ポンプ属性部変更用シート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2014-01-31T15:00:00Z</cp:lastPrinted>
  <dcterms:created xsi:type="dcterms:W3CDTF">2014-01-31T15:00:00Z</dcterms:created>
  <dcterms:modified xsi:type="dcterms:W3CDTF">2025-12-12T04:16:33Z</dcterms:modified>
  <cp:category/>
</cp:coreProperties>
</file>