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codeName="ThisWorkbook"/>
  <xr:revisionPtr revIDLastSave="0" documentId="13_ncr:1_{8D6E3B31-C2B1-4B3C-9E5D-33E8ED44785F}" xr6:coauthVersionLast="47" xr6:coauthVersionMax="47" xr10:uidLastSave="{00000000-0000-0000-0000-000000000000}"/>
  <bookViews>
    <workbookView xWindow="23820" yWindow="312" windowWidth="24744" windowHeight="16416" tabRatio="779" xr2:uid="{00000000-000D-0000-FFFF-FFFF00000000}"/>
  </bookViews>
  <sheets>
    <sheet name="冷温水一次ポンプ属性部変更用シート" sheetId="15" r:id="rId1"/>
  </sheets>
  <calcPr calcId="191029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5" l="1"/>
  <c r="G46" i="15" l="1"/>
  <c r="F67" i="15"/>
  <c r="H67" i="15" s="1"/>
  <c r="H73" i="15"/>
  <c r="H72" i="15"/>
  <c r="H71" i="15"/>
  <c r="H70" i="15"/>
  <c r="H69" i="15"/>
  <c r="I73" i="15" l="1"/>
  <c r="I72" i="15"/>
  <c r="I71" i="15"/>
  <c r="I70" i="15"/>
  <c r="I69" i="15"/>
  <c r="H76" i="15"/>
  <c r="G67" i="15"/>
  <c r="E67" i="15"/>
  <c r="K67" i="15" s="1"/>
  <c r="G47" i="15"/>
  <c r="G28" i="15"/>
  <c r="G29" i="15" s="1"/>
  <c r="G23" i="15"/>
  <c r="G22" i="15"/>
  <c r="I30" i="15" s="1"/>
  <c r="G21" i="15"/>
  <c r="I28" i="15" s="1"/>
  <c r="I20" i="15"/>
  <c r="G17" i="15" s="1"/>
  <c r="G20" i="15"/>
  <c r="I26" i="15"/>
  <c r="G18" i="15"/>
  <c r="I22" i="15"/>
  <c r="G16" i="15"/>
  <c r="I18" i="15"/>
  <c r="G15" i="15"/>
  <c r="D15" i="15" s="1"/>
  <c r="G14" i="15"/>
  <c r="F86" i="15"/>
  <c r="H86" i="15" s="1"/>
  <c r="F91" i="15"/>
  <c r="G86" i="15"/>
  <c r="I86" i="15"/>
  <c r="E86" i="15"/>
  <c r="F90" i="15"/>
  <c r="F89" i="15"/>
  <c r="G89" i="15" s="1"/>
  <c r="H89" i="15" s="1"/>
  <c r="H79" i="15"/>
  <c r="I67" i="15" l="1"/>
  <c r="D14" i="15"/>
  <c r="G31" i="15"/>
  <c r="G30" i="15"/>
  <c r="F88" i="15"/>
  <c r="G88" i="15" s="1"/>
  <c r="I88" i="15" s="1"/>
  <c r="G91" i="15"/>
  <c r="H91" i="15" s="1"/>
  <c r="G90" i="15"/>
  <c r="I90" i="15" s="1"/>
  <c r="I89" i="15"/>
  <c r="F92" i="15"/>
  <c r="G92" i="15" s="1"/>
  <c r="H82" i="15"/>
  <c r="J67" i="15"/>
  <c r="H80" i="15"/>
  <c r="H77" i="15"/>
  <c r="H78" i="15"/>
  <c r="H81" i="15"/>
  <c r="D18" i="15"/>
  <c r="H90" i="15" l="1"/>
  <c r="H88" i="15"/>
  <c r="I92" i="15"/>
  <c r="H92" i="15"/>
  <c r="I91" i="15"/>
  <c r="I77" i="15"/>
  <c r="I81" i="15"/>
  <c r="I78" i="15"/>
  <c r="I76" i="15"/>
  <c r="I82" i="15"/>
  <c r="I79" i="15"/>
  <c r="I80" i="15"/>
  <c r="I75" i="15"/>
  <c r="G32" i="15"/>
  <c r="G33" i="15" s="1"/>
  <c r="G35" i="15" l="1"/>
  <c r="G38" i="15"/>
  <c r="G39" i="15" s="1"/>
  <c r="G13" i="15" s="1"/>
  <c r="I32" i="15" s="1"/>
  <c r="G36" i="15" l="1"/>
  <c r="G45" i="15" s="1"/>
  <c r="M59" i="15"/>
  <c r="M58" i="15"/>
  <c r="M57" i="15"/>
  <c r="M55" i="15"/>
  <c r="M56" i="15"/>
  <c r="M53" i="15"/>
  <c r="L51" i="15" s="1"/>
  <c r="M54" i="15"/>
  <c r="G37" i="15" l="1"/>
  <c r="G19" i="15" s="1"/>
  <c r="D20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IF ポンプ制御=0
   定格水量
　else
   最低水量
</t>
        </r>
      </text>
    </comment>
    <comment ref="G26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0:定速
1:吐出圧一定 
2:最小吐出圧･末端差圧・負荷側制御なし</t>
        </r>
      </text>
    </comment>
    <comment ref="G28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ポンプPQ曲線と配管抵抗曲線の交点の水量を求める事で、定速で成り行き運転した場合の水量を求めるVwin=(-b-(b^2-4(a-A)(c-B))^2) / 2(a-A)
   ポンプPQ特性         ： P=aVwin^2+bVwin+c
   配管圧力損失         ： P=AVwin^2+B
        aVwin^2+bVwin+c = AVwin^2+B   より Vwinを求める
        （PQ曲線と配管抵抗曲線の交点）</t>
        </r>
      </text>
    </comment>
    <comment ref="G29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上記成行き運転における吐出圧
 Pin=A*Vwin^2+B</t>
        </r>
      </text>
    </comment>
    <comment ref="G30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Vw送水に必要な揚程
制御０ ： Ppl
制御１ ： Pd=Ppl
制御２ ： Pd=A*Vw^2+B
他       ： Pd=9999
</t>
        </r>
      </text>
    </comment>
    <comment ref="G31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制御 0：Nd=Nｐｌ         
制御 1：Nd=( -b*Vw/60+ ( (b*Vw/60)^2-4*c* (a*(Vw/60)^2-Pd) )^0.5)  /2/c *Npl
    （回転数とＰＱ特性の関係式 P = a･Vw2 + b･Vw･(n/Npl) + c･(n/Npl)2 よりnを求めるNd=n）
制御 2：Nd=Vw/60/Vwin*Npl  （回転数は水量に比例）</t>
        </r>
      </text>
    </comment>
    <comment ref="G32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上下限チェック
停止：                 N=0
if Nd&lt;Nmin then  N=Nmin
if Nd&gt;Nmax then N=99999
If Nd&gt;=Nmin and Nd&lt;=Nmax then N=Nd</t>
        </r>
      </text>
    </comment>
    <comment ref="G33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回転数の下限に掛かると動作点は最小回転数のPQ線上となる
停止   ：         P=0
制御0 ： a*(Vw/60)^2+b*Vw/60+c
制御1 ：  if Nd&gt;=N then 
                    P=Ppl  (下限に掛からないとき)
                else               
                    P=a*(Vw/60)^2+N/Npl*b*Vw/60+(N/Npl)^2*c)  (下限に掛PQ線上を移動)
              endif 
制御2 ：  if Nd&gt;=N then 
                    P=Pd  (下限に掛からないとき)
                else
                   P=a*(Vw/60)^2+N/Npl*b*Vw/60+(N/Npl)^2*c)  (下限に掛PQ線上を移動)
              endif</t>
        </r>
      </text>
    </comment>
    <comment ref="G36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停止：  Pe=0
運転：  Pe=aec*(Vw*P/60000/e)+bec
              理論動力の式</t>
        </r>
      </text>
    </comment>
    <comment ref="G37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 xml:space="preserve">if(or(運転状態=0 , 運転モード = 0) , ポンプ入口温度,ポンプ入口温度＋ポンプによる温度上昇)
</t>
        </r>
      </text>
    </comment>
    <comment ref="G38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エラーコード：</t>
        </r>
        <r>
          <rPr>
            <sz val="9"/>
            <color indexed="81"/>
            <rFont val="ＭＳ Ｐゴシック"/>
            <family val="3"/>
            <charset val="128"/>
          </rPr>
          <t xml:space="preserve">　
表示された数値の桁数は、エラーが生じた条件項目の位置を表す。
</t>
        </r>
        <r>
          <rPr>
            <sz val="9"/>
            <color indexed="81"/>
            <rFont val="ＭＳ ゴシック"/>
            <family val="3"/>
            <charset val="128"/>
          </rPr>
          <t>10位:</t>
        </r>
        <r>
          <rPr>
            <sz val="9"/>
            <color indexed="81"/>
            <rFont val="ＭＳ Ｐゴシック"/>
            <family val="3"/>
            <charset val="128"/>
          </rPr>
          <t xml:space="preserve">  揚程
 </t>
        </r>
        <r>
          <rPr>
            <sz val="9"/>
            <color indexed="81"/>
            <rFont val="ＭＳ ゴシック"/>
            <family val="3"/>
            <charset val="128"/>
          </rPr>
          <t>1位： 周波数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数字の意味：　</t>
        </r>
        <r>
          <rPr>
            <sz val="9"/>
            <color indexed="81"/>
            <rFont val="ＭＳ Ｐゴシック"/>
            <family val="3"/>
            <charset val="128"/>
          </rPr>
          <t xml:space="preserve">
0 : good
1 : warning
2 : error</t>
        </r>
      </text>
    </comment>
    <comment ref="G39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 xml:space="preserve">if 運転状態=0,"good"
エラーコード　[1],[2]を含まなければgood
[2]を含めばerror
[1]を含めばwarrning
</t>
        </r>
      </text>
    </comment>
    <comment ref="G42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G43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 xml:space="preserve"> 仕様書より入力
</t>
        </r>
      </text>
    </comment>
    <comment ref="G44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G46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G47" authorId="0" shapeId="0" xr:uid="{00000000-0006-0000-0000-000011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G48" authorId="0" shapeId="0" xr:uid="{00000000-0006-0000-0000-000012000000}">
      <text>
        <r>
          <rPr>
            <sz val="9"/>
            <color indexed="81"/>
            <rFont val="ＭＳ Ｐゴシック"/>
            <family val="3"/>
            <charset val="128"/>
          </rPr>
          <t xml:space="preserve">定格水量/2
</t>
        </r>
      </text>
    </comment>
    <comment ref="G49" authorId="0" shapeId="0" xr:uid="{00000000-0006-0000-0000-000013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G50" authorId="0" shapeId="0" xr:uid="{00000000-0006-0000-0000-000014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G51" authorId="0" shapeId="0" xr:uid="{00000000-0006-0000-0000-000015000000}">
      <text>
        <r>
          <rPr>
            <sz val="9"/>
            <color indexed="81"/>
            <rFont val="ＭＳ Ｐゴシック"/>
            <family val="3"/>
            <charset val="128"/>
          </rPr>
          <t xml:space="preserve">仕様書より入力
</t>
        </r>
      </text>
    </comment>
    <comment ref="G52" authorId="0" shapeId="0" xr:uid="{00000000-0006-0000-0000-000016000000}">
      <text>
        <r>
          <rPr>
            <sz val="9"/>
            <color indexed="81"/>
            <rFont val="ＭＳ Ｐゴシック"/>
            <family val="3"/>
            <charset val="128"/>
          </rPr>
          <t>仕様書より入力</t>
        </r>
      </text>
    </comment>
    <comment ref="G53" authorId="0" shapeId="0" xr:uid="{00000000-0006-0000-0000-000017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G54" authorId="0" shapeId="0" xr:uid="{00000000-0006-0000-0000-000018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G55" authorId="0" shapeId="0" xr:uid="{00000000-0006-0000-0000-000019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G56" authorId="0" shapeId="0" xr:uid="{00000000-0006-0000-0000-00001A000000}">
      <text>
        <r>
          <rPr>
            <sz val="9"/>
            <color indexed="81"/>
            <rFont val="ＭＳ Ｐゴシック"/>
            <family val="3"/>
            <charset val="128"/>
          </rPr>
          <t>属性部作成シートより入力</t>
        </r>
      </text>
    </comment>
    <comment ref="G57" authorId="0" shapeId="0" xr:uid="{00000000-0006-0000-0000-00001B000000}">
      <text>
        <r>
          <rPr>
            <sz val="9"/>
            <color indexed="81"/>
            <rFont val="ＭＳ Ｐゴシック"/>
            <family val="3"/>
            <charset val="128"/>
          </rPr>
          <t>属性作成部シート付属のグラフ内の式から読取入力</t>
        </r>
      </text>
    </comment>
    <comment ref="G58" authorId="0" shapeId="0" xr:uid="{00000000-0006-0000-0000-00001C000000}">
      <text>
        <r>
          <rPr>
            <sz val="9"/>
            <color indexed="81"/>
            <rFont val="ＭＳ Ｐゴシック"/>
            <family val="3"/>
            <charset val="128"/>
          </rPr>
          <t>属性作成部シート付属のグラフ内の式から読取入力</t>
        </r>
      </text>
    </comment>
    <comment ref="G59" authorId="0" shapeId="0" xr:uid="{00000000-0006-0000-0000-00001D000000}">
      <text>
        <r>
          <rPr>
            <sz val="9"/>
            <color indexed="81"/>
            <rFont val="ＭＳ Ｐゴシック"/>
            <family val="3"/>
            <charset val="128"/>
          </rPr>
          <t>属性部作成シート付属のグラフ内の式から読取入力</t>
        </r>
      </text>
    </comment>
    <comment ref="G60" authorId="0" shapeId="0" xr:uid="{00000000-0006-0000-0000-00001E000000}">
      <text>
        <r>
          <rPr>
            <sz val="9"/>
            <color indexed="81"/>
            <rFont val="ＭＳ Ｐゴシック"/>
            <family val="3"/>
            <charset val="128"/>
          </rPr>
          <t xml:space="preserve">デフォルト　１
</t>
        </r>
      </text>
    </comment>
    <comment ref="G61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デフォルト　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67" authorId="0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定格揚程-実揚程</t>
        </r>
      </text>
    </comment>
    <comment ref="J67" authorId="0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配管特性A=
配管抵抗(kPa)
/流量(m3/s)^2</t>
        </r>
      </text>
    </comment>
    <comment ref="K67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配管特性B=実揚程(kPa)</t>
        </r>
      </text>
    </comment>
    <comment ref="F69" authorId="0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ポンプの仕様書からPQ特性の５点を入力</t>
        </r>
      </text>
    </comment>
    <comment ref="I75" authorId="0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実揚程(kPa)</t>
        </r>
      </text>
    </comment>
    <comment ref="I76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配管抵抗=AxQ^2+B  </t>
        </r>
      </text>
    </comment>
    <comment ref="E86" authorId="0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実揚程</t>
        </r>
      </text>
    </comment>
    <comment ref="G86" authorId="0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定格揚程-実揚程</t>
        </r>
      </text>
    </comment>
  </commentList>
</comments>
</file>

<file path=xl/sharedStrings.xml><?xml version="1.0" encoding="utf-8"?>
<sst xmlns="http://schemas.openxmlformats.org/spreadsheetml/2006/main" count="145" uniqueCount="127">
  <si>
    <t>ポンプ効率</t>
    <rPh sb="3" eb="5">
      <t>コウリツ</t>
    </rPh>
    <phoneticPr fontId="2"/>
  </si>
  <si>
    <t>最低水量</t>
    <rPh sb="0" eb="2">
      <t>サイテイ</t>
    </rPh>
    <rPh sb="2" eb="4">
      <t>スイリョウ</t>
    </rPh>
    <phoneticPr fontId="2"/>
  </si>
  <si>
    <t>配管特性</t>
    <rPh sb="0" eb="2">
      <t>ハイカン</t>
    </rPh>
    <rPh sb="2" eb="4">
      <t>トクセイ</t>
    </rPh>
    <phoneticPr fontId="2"/>
  </si>
  <si>
    <t>備考</t>
    <rPh sb="0" eb="2">
      <t>ビコウ</t>
    </rPh>
    <phoneticPr fontId="2"/>
  </si>
  <si>
    <t>設計仕様</t>
    <rPh sb="0" eb="2">
      <t>セッケイ</t>
    </rPh>
    <rPh sb="2" eb="4">
      <t>シヨウ</t>
    </rPh>
    <phoneticPr fontId="2"/>
  </si>
  <si>
    <t>作図</t>
    <rPh sb="0" eb="2">
      <t>サクズ</t>
    </rPh>
    <phoneticPr fontId="2"/>
  </si>
  <si>
    <t>5点入力</t>
    <rPh sb="1" eb="2">
      <t>テン</t>
    </rPh>
    <rPh sb="2" eb="4">
      <t>ニュウリョク</t>
    </rPh>
    <phoneticPr fontId="2"/>
  </si>
  <si>
    <t>ポンプPQ特性を二次式に近似</t>
    <rPh sb="8" eb="11">
      <t>ニジシキ</t>
    </rPh>
    <rPh sb="12" eb="14">
      <t>キンジ</t>
    </rPh>
    <phoneticPr fontId="2"/>
  </si>
  <si>
    <t>作図した数式よりa,b,cをポンプ属性に入力</t>
    <rPh sb="0" eb="2">
      <t>サクズ</t>
    </rPh>
    <rPh sb="4" eb="6">
      <t>スウシキ</t>
    </rPh>
    <rPh sb="17" eb="19">
      <t>ゾクセイ</t>
    </rPh>
    <rPh sb="20" eb="22">
      <t>ニュウリョク</t>
    </rPh>
    <phoneticPr fontId="2"/>
  </si>
  <si>
    <t>P-Q特性</t>
    <rPh sb="3" eb="5">
      <t>トクセイ</t>
    </rPh>
    <phoneticPr fontId="2"/>
  </si>
  <si>
    <t>運転判定</t>
    <rPh sb="0" eb="2">
      <t>ウンテン</t>
    </rPh>
    <rPh sb="2" eb="4">
      <t>ハンテイ</t>
    </rPh>
    <phoneticPr fontId="2"/>
  </si>
  <si>
    <t>運転順位</t>
    <rPh sb="0" eb="2">
      <t>ウンテン</t>
    </rPh>
    <rPh sb="2" eb="4">
      <t>ジュンイ</t>
    </rPh>
    <phoneticPr fontId="2"/>
  </si>
  <si>
    <t>エラー状態</t>
    <rPh sb="3" eb="5">
      <t>ジョウタイ</t>
    </rPh>
    <phoneticPr fontId="2"/>
  </si>
  <si>
    <t>運転状態　0:停止 1:運転</t>
    <rPh sb="0" eb="2">
      <t>ウンテン</t>
    </rPh>
    <rPh sb="2" eb="4">
      <t>ジョウタイ</t>
    </rPh>
    <rPh sb="12" eb="14">
      <t>ウンテン</t>
    </rPh>
    <phoneticPr fontId="2"/>
  </si>
  <si>
    <t>運転ﾓｰﾄﾞ　0:停止 1:冷房 2:暖房</t>
    <rPh sb="0" eb="2">
      <t>ウンテン</t>
    </rPh>
    <rPh sb="9" eb="11">
      <t>テイシ</t>
    </rPh>
    <rPh sb="14" eb="16">
      <t>レイボウ</t>
    </rPh>
    <rPh sb="19" eb="21">
      <t>ダンボウ</t>
    </rPh>
    <phoneticPr fontId="2"/>
  </si>
  <si>
    <t>熱源機No1</t>
    <rPh sb="0" eb="2">
      <t>ネツゲン</t>
    </rPh>
    <rPh sb="2" eb="3">
      <t>キ</t>
    </rPh>
    <phoneticPr fontId="2"/>
  </si>
  <si>
    <t>運転モード</t>
    <rPh sb="0" eb="2">
      <t>ウンテン</t>
    </rPh>
    <phoneticPr fontId="2"/>
  </si>
  <si>
    <t>循環水量</t>
    <rPh sb="0" eb="2">
      <t>ジュンカン</t>
    </rPh>
    <rPh sb="2" eb="4">
      <t>スイリョウ</t>
    </rPh>
    <phoneticPr fontId="2"/>
  </si>
  <si>
    <t>定格水量</t>
    <rPh sb="0" eb="2">
      <t>テイカク</t>
    </rPh>
    <rPh sb="2" eb="4">
      <t>スイリョウ</t>
    </rPh>
    <phoneticPr fontId="2"/>
  </si>
  <si>
    <t>定格能力</t>
    <rPh sb="0" eb="2">
      <t>テイカク</t>
    </rPh>
    <rPh sb="2" eb="4">
      <t>ノウリョク</t>
    </rPh>
    <phoneticPr fontId="2"/>
  </si>
  <si>
    <t>4(定格）</t>
    <rPh sb="2" eb="4">
      <t>テイカク</t>
    </rPh>
    <phoneticPr fontId="2"/>
  </si>
  <si>
    <t>5（定格x1.2)）</t>
    <rPh sb="2" eb="4">
      <t>テイカク</t>
    </rPh>
    <phoneticPr fontId="2"/>
  </si>
  <si>
    <t>配管特性A</t>
    <rPh sb="0" eb="2">
      <t>ハイカン</t>
    </rPh>
    <rPh sb="2" eb="4">
      <t>トクセイ</t>
    </rPh>
    <phoneticPr fontId="2"/>
  </si>
  <si>
    <t>配管特性B</t>
    <rPh sb="0" eb="2">
      <t>ハイカン</t>
    </rPh>
    <rPh sb="2" eb="4">
      <t>トクセイ</t>
    </rPh>
    <phoneticPr fontId="2"/>
  </si>
  <si>
    <t>A,Bをポンプ属性に入力</t>
    <rPh sb="7" eb="9">
      <t>ゾクセイ</t>
    </rPh>
    <rPh sb="10" eb="12">
      <t>ニュウリョク</t>
    </rPh>
    <phoneticPr fontId="2"/>
  </si>
  <si>
    <t>ポンプ属性部 ポンプP-Q特性、配管特性作成セル（黄欄入力、赤欄記入、グラフ内abcを記入）</t>
    <rPh sb="3" eb="5">
      <t>ゾクセイ</t>
    </rPh>
    <rPh sb="5" eb="6">
      <t>ブ</t>
    </rPh>
    <rPh sb="13" eb="15">
      <t>トクセイ</t>
    </rPh>
    <rPh sb="16" eb="18">
      <t>ハイカン</t>
    </rPh>
    <rPh sb="18" eb="20">
      <t>トクセイ</t>
    </rPh>
    <rPh sb="20" eb="22">
      <t>サクセイ</t>
    </rPh>
    <rPh sb="25" eb="26">
      <t>キ</t>
    </rPh>
    <rPh sb="26" eb="27">
      <t>ラン</t>
    </rPh>
    <rPh sb="27" eb="29">
      <t>ニュウリョク</t>
    </rPh>
    <rPh sb="30" eb="31">
      <t>アカ</t>
    </rPh>
    <rPh sb="31" eb="32">
      <t>ラン</t>
    </rPh>
    <rPh sb="32" eb="34">
      <t>キニュウ</t>
    </rPh>
    <rPh sb="38" eb="39">
      <t>ナイ</t>
    </rPh>
    <rPh sb="43" eb="45">
      <t>キニュウ</t>
    </rPh>
    <phoneticPr fontId="2"/>
  </si>
  <si>
    <t>冷温水一次ポンプ制御</t>
    <rPh sb="0" eb="3">
      <t>レイオンスイ</t>
    </rPh>
    <rPh sb="3" eb="5">
      <t>イチジ</t>
    </rPh>
    <rPh sb="8" eb="10">
      <t>セイギョ</t>
    </rPh>
    <phoneticPr fontId="2"/>
  </si>
  <si>
    <t>1(min)</t>
    <phoneticPr fontId="2"/>
  </si>
  <si>
    <t>計算で求めた配管系抵抗曲線(右図のため)</t>
    <rPh sb="0" eb="2">
      <t>ケイサン</t>
    </rPh>
    <rPh sb="3" eb="4">
      <t>モト</t>
    </rPh>
    <rPh sb="11" eb="13">
      <t>キョクセン</t>
    </rPh>
    <rPh sb="14" eb="15">
      <t>ミギ</t>
    </rPh>
    <rPh sb="15" eb="16">
      <t>ズ</t>
    </rPh>
    <phoneticPr fontId="2"/>
  </si>
  <si>
    <t>配管特性　P=AQ^2+B    　係数:A</t>
    <rPh sb="0" eb="2">
      <t>ハイカン</t>
    </rPh>
    <rPh sb="2" eb="4">
      <t>トクセイ</t>
    </rPh>
    <rPh sb="18" eb="20">
      <t>ケイスウ</t>
    </rPh>
    <phoneticPr fontId="2"/>
  </si>
  <si>
    <t>確認用　ポンプＰ-Ｑ特性グラフ，配管系抵抗グラフ自動描画用セル</t>
    <rPh sb="0" eb="3">
      <t>カクニンヨウ</t>
    </rPh>
    <rPh sb="10" eb="12">
      <t>トクセイ</t>
    </rPh>
    <rPh sb="24" eb="26">
      <t>ジドウ</t>
    </rPh>
    <rPh sb="26" eb="28">
      <t>ビョウガ</t>
    </rPh>
    <rPh sb="28" eb="29">
      <t>ヨウ</t>
    </rPh>
    <phoneticPr fontId="2"/>
  </si>
  <si>
    <t>冷温水一次ポンプ属性</t>
    <rPh sb="0" eb="3">
      <t>レイオンスイ</t>
    </rPh>
    <rPh sb="3" eb="5">
      <t>イチジ</t>
    </rPh>
    <rPh sb="8" eb="10">
      <t>ゾクセイ</t>
    </rPh>
    <phoneticPr fontId="2"/>
  </si>
  <si>
    <t>ポンプPQ特性・配管系抵抗　属性部の値より計算</t>
    <rPh sb="8" eb="11">
      <t>ハイカンケイ</t>
    </rPh>
    <rPh sb="11" eb="13">
      <t>テイコウ</t>
    </rPh>
    <rPh sb="14" eb="16">
      <t>ゾクセイ</t>
    </rPh>
    <rPh sb="16" eb="17">
      <t>ブ</t>
    </rPh>
    <rPh sb="18" eb="19">
      <t>アタイ</t>
    </rPh>
    <rPh sb="21" eb="23">
      <t>ケイサン</t>
    </rPh>
    <phoneticPr fontId="2"/>
  </si>
  <si>
    <t>エラー状態</t>
  </si>
  <si>
    <t>熱源出口水温</t>
    <rPh sb="0" eb="2">
      <t>ネツゲン</t>
    </rPh>
    <rPh sb="2" eb="4">
      <t>デグチ</t>
    </rPh>
    <rPh sb="4" eb="5">
      <t>ミズ</t>
    </rPh>
    <rPh sb="5" eb="6">
      <t>アツシ</t>
    </rPh>
    <phoneticPr fontId="2"/>
  </si>
  <si>
    <t>熱源入口水温</t>
    <rPh sb="0" eb="2">
      <t>ネツゲン</t>
    </rPh>
    <rPh sb="2" eb="4">
      <t>イリグチ</t>
    </rPh>
    <rPh sb="4" eb="6">
      <t>スイオン</t>
    </rPh>
    <phoneticPr fontId="2"/>
  </si>
  <si>
    <t>エラー判定</t>
    <rPh sb="3" eb="5">
      <t>ハンテイ</t>
    </rPh>
    <phoneticPr fontId="2"/>
  </si>
  <si>
    <t>直だき吸収冷温水機</t>
    <rPh sb="0" eb="1">
      <t>チョク</t>
    </rPh>
    <rPh sb="3" eb="5">
      <t>キュウシュウ</t>
    </rPh>
    <rPh sb="5" eb="8">
      <t>レイオンスイ</t>
    </rPh>
    <rPh sb="8" eb="9">
      <t>キ</t>
    </rPh>
    <phoneticPr fontId="2"/>
  </si>
  <si>
    <t>送水制御 0:定速 1:定圧 2:最小吐出圧</t>
    <rPh sb="7" eb="8">
      <t>テイ</t>
    </rPh>
    <rPh sb="8" eb="9">
      <t>ソク</t>
    </rPh>
    <rPh sb="12" eb="14">
      <t>テイアツ</t>
    </rPh>
    <rPh sb="17" eb="19">
      <t>サイショウ</t>
    </rPh>
    <rPh sb="19" eb="21">
      <t>トシュツ</t>
    </rPh>
    <rPh sb="21" eb="22">
      <t>アツ</t>
    </rPh>
    <phoneticPr fontId="2"/>
  </si>
  <si>
    <t>エラーコード(揚程;周波数）</t>
    <rPh sb="7" eb="9">
      <t>ヨウテイ</t>
    </rPh>
    <rPh sb="10" eb="13">
      <t>シュウハスウ</t>
    </rPh>
    <phoneticPr fontId="2"/>
  </si>
  <si>
    <t>：揚程条件</t>
    <rPh sb="1" eb="3">
      <t>ヨウテイ</t>
    </rPh>
    <rPh sb="3" eb="5">
      <t>ジョウケン</t>
    </rPh>
    <phoneticPr fontId="2"/>
  </si>
  <si>
    <t>：周波数条件</t>
    <rPh sb="1" eb="4">
      <t>シュウハスウ</t>
    </rPh>
    <rPh sb="4" eb="6">
      <t>ジョウケン</t>
    </rPh>
    <phoneticPr fontId="2"/>
  </si>
  <si>
    <t>【各桁数に表示された数の意味】</t>
    <rPh sb="1" eb="2">
      <t>カク</t>
    </rPh>
    <rPh sb="2" eb="4">
      <t>ケタスウ</t>
    </rPh>
    <rPh sb="5" eb="7">
      <t>ヒョウジ</t>
    </rPh>
    <phoneticPr fontId="2"/>
  </si>
  <si>
    <t>：good　  （計算精度維持範囲内）</t>
    <rPh sb="17" eb="18">
      <t>ナイ</t>
    </rPh>
    <phoneticPr fontId="2"/>
  </si>
  <si>
    <t>：warning （計算精度維持範囲外）</t>
    <rPh sb="10" eb="12">
      <t>ケイサン</t>
    </rPh>
    <rPh sb="12" eb="14">
      <t>セイド</t>
    </rPh>
    <rPh sb="14" eb="16">
      <t>イジ</t>
    </rPh>
    <rPh sb="16" eb="19">
      <t>ハンイガイ</t>
    </rPh>
    <phoneticPr fontId="2"/>
  </si>
  <si>
    <t>：error 　 （機器許容運転範囲外）</t>
    <rPh sb="10" eb="12">
      <t>キキ</t>
    </rPh>
    <rPh sb="12" eb="14">
      <t>キョヨウ</t>
    </rPh>
    <rPh sb="14" eb="16">
      <t>ウンテン</t>
    </rPh>
    <rPh sb="16" eb="19">
      <t>ハンイガイ</t>
    </rPh>
    <phoneticPr fontId="2"/>
  </si>
  <si>
    <t xml:space="preserve">    1 の位</t>
    <phoneticPr fontId="2"/>
  </si>
  <si>
    <t>※表示された数値の桁数は、エラーが生じた条件項目の位置を表す。</t>
    <phoneticPr fontId="2"/>
  </si>
  <si>
    <t>揚程条件</t>
    <rPh sb="0" eb="2">
      <t>ヨウテイ</t>
    </rPh>
    <rPh sb="2" eb="4">
      <t>ジョウケン</t>
    </rPh>
    <phoneticPr fontId="2"/>
  </si>
  <si>
    <t>必要な揚程＝99999　ポンプ制御誤入力</t>
    <rPh sb="0" eb="2">
      <t>ヒツヨウ</t>
    </rPh>
    <rPh sb="3" eb="5">
      <t>ヨウテイ</t>
    </rPh>
    <rPh sb="15" eb="17">
      <t>セイギョ</t>
    </rPh>
    <rPh sb="17" eb="18">
      <t>ゴ</t>
    </rPh>
    <rPh sb="18" eb="20">
      <t>ニュウリョク</t>
    </rPh>
    <phoneticPr fontId="2"/>
  </si>
  <si>
    <t>周波数条件</t>
    <rPh sb="0" eb="3">
      <t>シュウハスウ</t>
    </rPh>
    <rPh sb="3" eb="5">
      <t>ジョウケン</t>
    </rPh>
    <phoneticPr fontId="2"/>
  </si>
  <si>
    <t>実際の揚程 ＜ 必要な揚程　ポンプ揚程が不足</t>
    <rPh sb="0" eb="2">
      <t>ジッサイ</t>
    </rPh>
    <rPh sb="3" eb="5">
      <t>ヨウテイ</t>
    </rPh>
    <rPh sb="8" eb="10">
      <t>ヒツヨウ</t>
    </rPh>
    <rPh sb="11" eb="13">
      <t>ヨウテイ</t>
    </rPh>
    <rPh sb="17" eb="19">
      <t>ヨウテイ</t>
    </rPh>
    <rPh sb="20" eb="22">
      <t>ブソク</t>
    </rPh>
    <phoneticPr fontId="2"/>
  </si>
  <si>
    <t>実際の周波数 ＝ 99999 ポンプ周波数が上限周波数を超える</t>
    <rPh sb="0" eb="2">
      <t>ジッサイ</t>
    </rPh>
    <rPh sb="3" eb="6">
      <t>シュウハスウ</t>
    </rPh>
    <rPh sb="18" eb="21">
      <t>シュウハスウ</t>
    </rPh>
    <rPh sb="22" eb="24">
      <t>ジョウゲン</t>
    </rPh>
    <rPh sb="24" eb="27">
      <t>シュウハスウ</t>
    </rPh>
    <rPh sb="28" eb="29">
      <t>コ</t>
    </rPh>
    <phoneticPr fontId="2"/>
  </si>
  <si>
    <t>冷温水往温度 ［℃］</t>
    <rPh sb="0" eb="3">
      <t>レイオンスイ</t>
    </rPh>
    <rPh sb="3" eb="4">
      <t>オウ</t>
    </rPh>
    <rPh sb="4" eb="6">
      <t>オンド</t>
    </rPh>
    <phoneticPr fontId="2"/>
  </si>
  <si>
    <t>冷温水還温度 ［℃］</t>
    <rPh sb="0" eb="3">
      <t>レイオンスイ</t>
    </rPh>
    <rPh sb="3" eb="4">
      <t>カン</t>
    </rPh>
    <rPh sb="4" eb="6">
      <t>オンド</t>
    </rPh>
    <phoneticPr fontId="2"/>
  </si>
  <si>
    <t>ポンプ入口温度 ［℃］</t>
    <rPh sb="3" eb="5">
      <t>イリグチ</t>
    </rPh>
    <rPh sb="5" eb="7">
      <t>オンド</t>
    </rPh>
    <phoneticPr fontId="2"/>
  </si>
  <si>
    <t>設計水量 ［㍑/min］</t>
    <rPh sb="0" eb="2">
      <t>セッケイ</t>
    </rPh>
    <rPh sb="2" eb="4">
      <t>スイリョウ</t>
    </rPh>
    <phoneticPr fontId="2"/>
  </si>
  <si>
    <t>最低水量 ［㍑/min］</t>
    <rPh sb="0" eb="2">
      <t>サイテイ</t>
    </rPh>
    <rPh sb="2" eb="4">
      <t>スイリョウ</t>
    </rPh>
    <phoneticPr fontId="2"/>
  </si>
  <si>
    <t>水量 ［㍑/min］</t>
    <rPh sb="0" eb="2">
      <t>スイリョウ</t>
    </rPh>
    <phoneticPr fontId="2"/>
  </si>
  <si>
    <t>熱源機定格能力 ［kW］</t>
    <rPh sb="0" eb="3">
      <t>ネツゲンキ</t>
    </rPh>
    <rPh sb="3" eb="5">
      <t>テイカク</t>
    </rPh>
    <rPh sb="5" eb="7">
      <t>ノウリョク</t>
    </rPh>
    <phoneticPr fontId="2"/>
  </si>
  <si>
    <t>実揚程 ［kPa］</t>
    <rPh sb="0" eb="1">
      <t>ジツ</t>
    </rPh>
    <rPh sb="1" eb="2">
      <t>アゲ</t>
    </rPh>
    <rPh sb="2" eb="3">
      <t>テイ</t>
    </rPh>
    <phoneticPr fontId="2"/>
  </si>
  <si>
    <t>ポンプによる温度上昇 ［℃］</t>
    <rPh sb="6" eb="8">
      <t>オンド</t>
    </rPh>
    <rPh sb="8" eb="10">
      <t>ジョウショウ</t>
    </rPh>
    <phoneticPr fontId="2"/>
  </si>
  <si>
    <t>実揚程［kPa］</t>
    <rPh sb="0" eb="1">
      <t>ジツ</t>
    </rPh>
    <rPh sb="1" eb="3">
      <t>ヨウテイ</t>
    </rPh>
    <phoneticPr fontId="2"/>
  </si>
  <si>
    <t>配管揚程［kPa］</t>
    <rPh sb="0" eb="2">
      <t>ハイカン</t>
    </rPh>
    <rPh sb="2" eb="4">
      <t>ヨウテイ</t>
    </rPh>
    <phoneticPr fontId="2"/>
  </si>
  <si>
    <t>設計揚程［kPa］</t>
    <rPh sb="0" eb="2">
      <t>セッケイ</t>
    </rPh>
    <rPh sb="2" eb="4">
      <t>ヨウテイ</t>
    </rPh>
    <phoneticPr fontId="2"/>
  </si>
  <si>
    <t>揚程 ［kPa］</t>
    <rPh sb="0" eb="2">
      <t>ヨウテイ</t>
    </rPh>
    <phoneticPr fontId="2"/>
  </si>
  <si>
    <t>水量［㍑/s］</t>
    <rPh sb="0" eb="1">
      <t>スイ</t>
    </rPh>
    <rPh sb="1" eb="2">
      <t>リョウ</t>
    </rPh>
    <phoneticPr fontId="2"/>
  </si>
  <si>
    <t>配管系抵抗［kPa］</t>
    <rPh sb="0" eb="3">
      <t>ハイカンケイ</t>
    </rPh>
    <rPh sb="3" eb="5">
      <t>テイコウ</t>
    </rPh>
    <phoneticPr fontId="2"/>
  </si>
  <si>
    <t>揚程［kPa］</t>
    <rPh sb="0" eb="2">
      <t>ヨウテイ</t>
    </rPh>
    <phoneticPr fontId="2"/>
  </si>
  <si>
    <t>冷温水量 ［㍑/min］</t>
    <rPh sb="0" eb="2">
      <t>レイオン</t>
    </rPh>
    <rPh sb="2" eb="3">
      <t>ミズ</t>
    </rPh>
    <rPh sb="3" eb="4">
      <t>リョウ</t>
    </rPh>
    <phoneticPr fontId="2"/>
  </si>
  <si>
    <t>運転状態　0:停止 1:運転</t>
  </si>
  <si>
    <t>運転ﾓｰﾄﾞ　0:停止 1:冷房 2:暖房</t>
  </si>
  <si>
    <t>運転順位</t>
  </si>
  <si>
    <t>定格冷凍/加熱能力　［kW］</t>
    <rPh sb="2" eb="4">
      <t>レイトウ</t>
    </rPh>
    <rPh sb="5" eb="7">
      <t>カネツ</t>
    </rPh>
    <rPh sb="7" eb="9">
      <t>ノウリョク</t>
    </rPh>
    <phoneticPr fontId="2"/>
  </si>
  <si>
    <t>冷温水量　［㍑/min］</t>
    <rPh sb="1" eb="2">
      <t>オン</t>
    </rPh>
    <rPh sb="3" eb="4">
      <t>リョウ</t>
    </rPh>
    <phoneticPr fontId="2"/>
  </si>
  <si>
    <t>冷温水出口温度　［℃］</t>
    <rPh sb="5" eb="7">
      <t>オンド</t>
    </rPh>
    <phoneticPr fontId="2"/>
  </si>
  <si>
    <t>冷温水入口温度　［℃］</t>
    <rPh sb="5" eb="7">
      <t>オンド</t>
    </rPh>
    <phoneticPr fontId="2"/>
  </si>
  <si>
    <t>冷却水量 ［㍑/min］</t>
    <rPh sb="3" eb="4">
      <t>リョウ</t>
    </rPh>
    <phoneticPr fontId="2"/>
  </si>
  <si>
    <t>冷却水入口温度　［℃］</t>
    <rPh sb="5" eb="7">
      <t>オンド</t>
    </rPh>
    <phoneticPr fontId="2"/>
  </si>
  <si>
    <t>冷却水出口温度　［℃］</t>
    <rPh sb="5" eb="7">
      <t>オンド</t>
    </rPh>
    <phoneticPr fontId="2"/>
  </si>
  <si>
    <t>冷凍機負荷率 ［-］</t>
    <rPh sb="0" eb="3">
      <t>レイトウキ</t>
    </rPh>
    <rPh sb="3" eb="5">
      <t>フカ</t>
    </rPh>
    <rPh sb="5" eb="6">
      <t>リツ</t>
    </rPh>
    <phoneticPr fontId="2"/>
  </si>
  <si>
    <t>【エラーコード】</t>
    <phoneticPr fontId="2"/>
  </si>
  <si>
    <t xml:space="preserve">   10 の位</t>
    <phoneticPr fontId="2"/>
  </si>
  <si>
    <t>【warning 】</t>
    <phoneticPr fontId="2"/>
  </si>
  <si>
    <t>【error 】</t>
    <phoneticPr fontId="2"/>
  </si>
  <si>
    <t>-</t>
    <phoneticPr fontId="2"/>
  </si>
  <si>
    <t>冷温水還温度 ［℃］</t>
    <rPh sb="3" eb="4">
      <t>カエリ</t>
    </rPh>
    <rPh sb="4" eb="6">
      <t>オンド</t>
    </rPh>
    <phoneticPr fontId="2"/>
  </si>
  <si>
    <t>［kPa］       　　　　　　 　　　係数:B</t>
    <rPh sb="22" eb="24">
      <t>ケイスウ</t>
    </rPh>
    <phoneticPr fontId="2"/>
  </si>
  <si>
    <t>動力補正係数 aec ［-］</t>
    <rPh sb="0" eb="2">
      <t>ドウリョク</t>
    </rPh>
    <rPh sb="2" eb="4">
      <t>ホセイ</t>
    </rPh>
    <rPh sb="4" eb="6">
      <t>ケイスウ</t>
    </rPh>
    <phoneticPr fontId="2"/>
  </si>
  <si>
    <t>動力補正係数 bec ［-］</t>
    <rPh sb="0" eb="2">
      <t>ドウリョク</t>
    </rPh>
    <rPh sb="2" eb="4">
      <t>ホセイ</t>
    </rPh>
    <rPh sb="4" eb="6">
      <t>ケイスウ</t>
    </rPh>
    <phoneticPr fontId="2"/>
  </si>
  <si>
    <t>水量初期値 ［㍑/s］：Vwin</t>
    <rPh sb="0" eb="1">
      <t>スイ</t>
    </rPh>
    <rPh sb="1" eb="2">
      <t>リョウ</t>
    </rPh>
    <rPh sb="2" eb="5">
      <t>ショキチ</t>
    </rPh>
    <phoneticPr fontId="2"/>
  </si>
  <si>
    <t>圧力初期値 ［kPa］：Pin</t>
    <rPh sb="0" eb="2">
      <t>アツリョク</t>
    </rPh>
    <rPh sb="2" eb="5">
      <t>ショキチ</t>
    </rPh>
    <phoneticPr fontId="2"/>
  </si>
  <si>
    <t>必要な揚程 ［kPa］：Pd</t>
    <rPh sb="0" eb="2">
      <t>ヒツヨウ</t>
    </rPh>
    <rPh sb="3" eb="5">
      <t>ヨウテイ</t>
    </rPh>
    <phoneticPr fontId="2"/>
  </si>
  <si>
    <t>必要な周波数 ［Hz］：Nd</t>
    <rPh sb="0" eb="2">
      <t>ヒツヨウ</t>
    </rPh>
    <rPh sb="3" eb="6">
      <t>シュウハスウ</t>
    </rPh>
    <phoneticPr fontId="2"/>
  </si>
  <si>
    <t>実際の周波数 ［Hz］：N</t>
    <rPh sb="0" eb="2">
      <t>ジッサイ</t>
    </rPh>
    <rPh sb="3" eb="6">
      <t>シュウハスウ</t>
    </rPh>
    <phoneticPr fontId="2"/>
  </si>
  <si>
    <t>実際の揚程 ［kPa］：P</t>
    <rPh sb="0" eb="2">
      <t>ジッサイ</t>
    </rPh>
    <rPh sb="3" eb="4">
      <t>ヨウ</t>
    </rPh>
    <rPh sb="4" eb="5">
      <t>テイ</t>
    </rPh>
    <phoneticPr fontId="2"/>
  </si>
  <si>
    <t>電力消費量 ［kW]：Pe</t>
    <rPh sb="0" eb="2">
      <t>デンリョク</t>
    </rPh>
    <rPh sb="2" eb="5">
      <t>ショウヒリョウ</t>
    </rPh>
    <phoneticPr fontId="2"/>
  </si>
  <si>
    <t>設計水量 ［㍑/min］：Vpl</t>
    <rPh sb="0" eb="2">
      <t>セッケイ</t>
    </rPh>
    <rPh sb="2" eb="4">
      <t>スイリョウ</t>
    </rPh>
    <phoneticPr fontId="2"/>
  </si>
  <si>
    <t>設計揚程 ［kPa]：Ppl</t>
    <rPh sb="0" eb="2">
      <t>セッケイ</t>
    </rPh>
    <rPh sb="2" eb="3">
      <t>ヨウ</t>
    </rPh>
    <rPh sb="3" eb="4">
      <t>テイ</t>
    </rPh>
    <phoneticPr fontId="2"/>
  </si>
  <si>
    <t>定格周波数 ［Hz］：Npl</t>
    <rPh sb="0" eb="2">
      <t>テイカク</t>
    </rPh>
    <rPh sb="2" eb="5">
      <t>シュウハスウ</t>
    </rPh>
    <phoneticPr fontId="2"/>
  </si>
  <si>
    <t>上限周波数 ［Hz］：Nmax</t>
    <rPh sb="0" eb="2">
      <t>ジョウゲン</t>
    </rPh>
    <rPh sb="2" eb="5">
      <t>シュウハスウ</t>
    </rPh>
    <phoneticPr fontId="2"/>
  </si>
  <si>
    <t>下限周波数 ［Hz］：Nmin</t>
    <rPh sb="0" eb="2">
      <t>カゲン</t>
    </rPh>
    <rPh sb="2" eb="5">
      <t>シュウハスウ</t>
    </rPh>
    <phoneticPr fontId="2"/>
  </si>
  <si>
    <t>←ポンプ特性 属性部へ　</t>
    <phoneticPr fontId="2"/>
  </si>
  <si>
    <t>コピーした後、形式を選択して貼り付けで、値のみを貼り付ける。</t>
    <rPh sb="5" eb="6">
      <t>ノチ</t>
    </rPh>
    <rPh sb="7" eb="9">
      <t>ケイシキ</t>
    </rPh>
    <rPh sb="10" eb="12">
      <t>センタク</t>
    </rPh>
    <rPh sb="14" eb="15">
      <t>ハ</t>
    </rPh>
    <rPh sb="16" eb="17">
      <t>ツ</t>
    </rPh>
    <rPh sb="20" eb="21">
      <t>アタイ</t>
    </rPh>
    <rPh sb="24" eb="25">
      <t>ハ</t>
    </rPh>
    <rPh sb="26" eb="27">
      <t>ツ</t>
    </rPh>
    <phoneticPr fontId="2"/>
  </si>
  <si>
    <t>揚程［m］</t>
    <phoneticPr fontId="2"/>
  </si>
  <si>
    <t>［kPa］</t>
    <phoneticPr fontId="2"/>
  </si>
  <si>
    <t>1(min)</t>
    <phoneticPr fontId="2"/>
  </si>
  <si>
    <t>5（max）</t>
    <phoneticPr fontId="2"/>
  </si>
  <si>
    <t>モータ効率（×インバータ効率） e</t>
    <rPh sb="3" eb="5">
      <t>コウリツ</t>
    </rPh>
    <rPh sb="12" eb="14">
      <t>コウリツ</t>
    </rPh>
    <phoneticPr fontId="2"/>
  </si>
  <si>
    <t>係数: c　　［-］</t>
    <rPh sb="0" eb="2">
      <t>ケイスウ</t>
    </rPh>
    <phoneticPr fontId="2"/>
  </si>
  <si>
    <t>係数: d</t>
    <rPh sb="0" eb="2">
      <t>ケイスウ</t>
    </rPh>
    <phoneticPr fontId="2"/>
  </si>
  <si>
    <t>係数: b　　η=aQ^3+bQ^2+cQ+d</t>
    <rPh sb="0" eb="2">
      <t>ケイスウ</t>
    </rPh>
    <phoneticPr fontId="1"/>
  </si>
  <si>
    <t>係数: a　　ﾎﾟﾝﾌﾟP-Q特性</t>
    <rPh sb="0" eb="2">
      <t>ケイスウ</t>
    </rPh>
    <phoneticPr fontId="1"/>
  </si>
  <si>
    <t>係数: b　　P=aQ^2+bQ+c</t>
    <rPh sb="0" eb="2">
      <t>ケイスウ</t>
    </rPh>
    <phoneticPr fontId="1"/>
  </si>
  <si>
    <t>係数: c　　［kPa］</t>
    <rPh sb="0" eb="2">
      <t>ケイスウ</t>
    </rPh>
    <phoneticPr fontId="1"/>
  </si>
  <si>
    <t>水量［m3/s］</t>
    <phoneticPr fontId="2"/>
  </si>
  <si>
    <t>水量 ［L/min］</t>
    <phoneticPr fontId="2"/>
  </si>
  <si>
    <t>最低水量 ［L/min］：Vmin</t>
    <rPh sb="0" eb="2">
      <t>サイテイ</t>
    </rPh>
    <rPh sb="2" eb="4">
      <t>スイリョウ</t>
    </rPh>
    <phoneticPr fontId="2"/>
  </si>
  <si>
    <t>水量［m3/s］</t>
    <rPh sb="0" eb="2">
      <t>スイリョウ</t>
    </rPh>
    <phoneticPr fontId="2"/>
  </si>
  <si>
    <t>設計水量 ［L/min］</t>
    <rPh sb="0" eb="2">
      <t>セッケイ</t>
    </rPh>
    <rPh sb="2" eb="4">
      <t>スイリョウ</t>
    </rPh>
    <phoneticPr fontId="2"/>
  </si>
  <si>
    <t>水量［m3/s］</t>
    <rPh sb="0" eb="1">
      <t>ミズ</t>
    </rPh>
    <rPh sb="1" eb="2">
      <t>リョウ</t>
    </rPh>
    <phoneticPr fontId="2"/>
  </si>
  <si>
    <t>ポンプ負荷率（流量比/周波数比） [-]</t>
    <rPh sb="3" eb="6">
      <t>フカリツ</t>
    </rPh>
    <rPh sb="7" eb="10">
      <t>リュウリョウヒ</t>
    </rPh>
    <rPh sb="11" eb="15">
      <t>シュウハスウヒ</t>
    </rPh>
    <phoneticPr fontId="2"/>
  </si>
  <si>
    <t>ポンプ効率 ［-]：η</t>
    <rPh sb="3" eb="5">
      <t>コウリツ</t>
    </rPh>
    <phoneticPr fontId="2"/>
  </si>
  <si>
    <t>係数: a　　ポンプ効率特性</t>
    <rPh sb="0" eb="2">
      <t>ケイスウ</t>
    </rPh>
    <rPh sb="12" eb="14">
      <t>トクセイ</t>
    </rPh>
    <phoneticPr fontId="2"/>
  </si>
  <si>
    <t>COMs_PCH(EFF)-20251212</t>
    <phoneticPr fontId="2"/>
  </si>
  <si>
    <t>冷温水一次ポンプ（効率特性）</t>
    <rPh sb="0" eb="1">
      <t>レイ</t>
    </rPh>
    <rPh sb="1" eb="3">
      <t>オンスイ</t>
    </rPh>
    <rPh sb="3" eb="5">
      <t>イチジ</t>
    </rPh>
    <rPh sb="9" eb="11">
      <t>コウリツ</t>
    </rPh>
    <rPh sb="11" eb="13">
      <t>トクセイ</t>
    </rPh>
    <phoneticPr fontId="2"/>
  </si>
  <si>
    <t>提供者：Kazuki YAJIMA</t>
    <rPh sb="0" eb="3">
      <t>テイキョウシャ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</si>
</sst>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.0"/>
    <numFmt numFmtId="177" formatCode="0_ "/>
    <numFmt numFmtId="178" formatCode="0.00_);[Red]\(0.00\)"/>
    <numFmt numFmtId="179" formatCode="0.000"/>
    <numFmt numFmtId="180" formatCode="0.00_ "/>
    <numFmt numFmtId="181" formatCode="0.0_ "/>
    <numFmt numFmtId="182" formatCode="#,##0_ "/>
    <numFmt numFmtId="183" formatCode="0.0_);[Red]\(0.0\)"/>
    <numFmt numFmtId="184" formatCode="#,##0.0_ "/>
    <numFmt numFmtId="185" formatCode="#,##0.0_);[Red]\(#,##0.0\)"/>
    <numFmt numFmtId="186" formatCode="0_);[Red]\(0\)"/>
    <numFmt numFmtId="187" formatCode="#,##0.00_ "/>
    <numFmt numFmtId="188" formatCode="#,##0_);[Red]\(#,##0\)"/>
    <numFmt numFmtId="189" formatCode="#,##0.00_);[Red]\(#,##0.00\)"/>
    <numFmt numFmtId="190" formatCode="0.000_ "/>
    <numFmt numFmtId="191" formatCode="#,##0.0000_ "/>
  </numFmts>
  <fonts count="18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sz val="9"/>
      <color indexed="12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sz val="6"/>
      <name val="Meiryo UI"/>
      <family val="2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gray0625">
        <bgColor indexed="11"/>
      </patternFill>
    </fill>
    <fill>
      <patternFill patternType="solid">
        <fgColor indexed="1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54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1">
    <xf numFmtId="0" fontId="0" fillId="0" borderId="0" xfId="0"/>
    <xf numFmtId="0" fontId="6" fillId="0" borderId="0" xfId="0" applyFont="1" applyAlignment="1" applyProtection="1">
      <alignment vertical="center"/>
      <protection locked="0"/>
    </xf>
    <xf numFmtId="2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quotePrefix="1" applyFont="1" applyAlignment="1" applyProtection="1">
      <alignment horizontal="right" vertical="center"/>
      <protection locked="0"/>
    </xf>
    <xf numFmtId="2" fontId="6" fillId="0" borderId="35" xfId="0" applyNumberFormat="1" applyFont="1" applyBorder="1" applyAlignment="1" applyProtection="1">
      <alignment horizontal="center" vertical="center"/>
      <protection locked="0"/>
    </xf>
    <xf numFmtId="2" fontId="6" fillId="0" borderId="24" xfId="0" applyNumberFormat="1" applyFont="1" applyBorder="1" applyAlignment="1" applyProtection="1">
      <alignment horizontal="center" vertical="center"/>
      <protection locked="0"/>
    </xf>
    <xf numFmtId="2" fontId="6" fillId="0" borderId="36" xfId="0" applyNumberFormat="1" applyFont="1" applyBorder="1" applyAlignment="1" applyProtection="1">
      <alignment horizontal="center" vertical="center"/>
      <protection locked="0"/>
    </xf>
    <xf numFmtId="0" fontId="6" fillId="2" borderId="33" xfId="0" applyFont="1" applyFill="1" applyBorder="1" applyAlignment="1" applyProtection="1">
      <alignment horizontal="center" vertical="center" shrinkToFit="1"/>
      <protection locked="0"/>
    </xf>
    <xf numFmtId="2" fontId="2" fillId="2" borderId="34" xfId="0" applyNumberFormat="1" applyFont="1" applyFill="1" applyBorder="1" applyAlignment="1" applyProtection="1">
      <alignment horizontal="center" vertical="center" shrinkToFit="1"/>
      <protection locked="0"/>
    </xf>
    <xf numFmtId="2" fontId="6" fillId="0" borderId="26" xfId="0" applyNumberFormat="1" applyFont="1" applyBorder="1" applyAlignment="1" applyProtection="1">
      <alignment horizontal="center" vertical="center"/>
      <protection locked="0"/>
    </xf>
    <xf numFmtId="189" fontId="5" fillId="0" borderId="0" xfId="0" applyNumberFormat="1" applyFont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186" fontId="6" fillId="6" borderId="5" xfId="0" applyNumberFormat="1" applyFont="1" applyFill="1" applyBorder="1" applyAlignment="1" applyProtection="1">
      <alignment horizontal="center" vertical="center"/>
      <protection locked="0"/>
    </xf>
    <xf numFmtId="0" fontId="6" fillId="7" borderId="28" xfId="0" applyFont="1" applyFill="1" applyBorder="1" applyAlignment="1" applyProtection="1">
      <alignment horizontal="left" vertical="center"/>
      <protection locked="0"/>
    </xf>
    <xf numFmtId="186" fontId="6" fillId="7" borderId="30" xfId="0" applyNumberFormat="1" applyFont="1" applyFill="1" applyBorder="1" applyAlignment="1" applyProtection="1">
      <alignment horizontal="center" vertical="center"/>
      <protection locked="0"/>
    </xf>
    <xf numFmtId="2" fontId="6" fillId="0" borderId="37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186" fontId="6" fillId="0" borderId="6" xfId="0" applyNumberFormat="1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186" fontId="6" fillId="9" borderId="6" xfId="0" applyNumberFormat="1" applyFont="1" applyFill="1" applyBorder="1" applyAlignment="1" applyProtection="1">
      <alignment horizontal="center" vertical="center"/>
      <protection locked="0"/>
    </xf>
    <xf numFmtId="186" fontId="6" fillId="6" borderId="45" xfId="0" applyNumberFormat="1" applyFont="1" applyFill="1" applyBorder="1" applyAlignment="1" applyProtection="1">
      <alignment horizontal="center" vertical="center"/>
      <protection locked="0"/>
    </xf>
    <xf numFmtId="1" fontId="6" fillId="0" borderId="0" xfId="0" applyNumberFormat="1" applyFont="1" applyAlignment="1" applyProtection="1">
      <alignment horizontal="center" vertical="center"/>
      <protection locked="0"/>
    </xf>
    <xf numFmtId="2" fontId="6" fillId="0" borderId="27" xfId="0" applyNumberFormat="1" applyFont="1" applyBorder="1" applyAlignment="1" applyProtection="1">
      <alignment horizontal="center" vertical="center"/>
      <protection locked="0"/>
    </xf>
    <xf numFmtId="2" fontId="7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186" fontId="6" fillId="6" borderId="6" xfId="0" applyNumberFormat="1" applyFont="1" applyFill="1" applyBorder="1" applyAlignment="1" applyProtection="1">
      <alignment horizontal="center" vertical="center"/>
      <protection locked="0"/>
    </xf>
    <xf numFmtId="186" fontId="6" fillId="10" borderId="6" xfId="0" applyNumberFormat="1" applyFont="1" applyFill="1" applyBorder="1" applyAlignment="1" applyProtection="1">
      <alignment horizontal="center" vertical="center"/>
      <protection locked="0"/>
    </xf>
    <xf numFmtId="186" fontId="6" fillId="6" borderId="27" xfId="0" applyNumberFormat="1" applyFont="1" applyFill="1" applyBorder="1" applyAlignment="1" applyProtection="1">
      <alignment horizontal="center" vertical="center"/>
      <protection locked="0"/>
    </xf>
    <xf numFmtId="1" fontId="9" fillId="0" borderId="0" xfId="0" applyNumberFormat="1" applyFont="1" applyAlignment="1" applyProtection="1">
      <alignment horizontal="center" vertical="center"/>
      <protection locked="0"/>
    </xf>
    <xf numFmtId="188" fontId="6" fillId="6" borderId="6" xfId="0" applyNumberFormat="1" applyFont="1" applyFill="1" applyBorder="1" applyAlignment="1" applyProtection="1">
      <alignment horizontal="center" vertical="center"/>
      <protection locked="0"/>
    </xf>
    <xf numFmtId="182" fontId="7" fillId="9" borderId="6" xfId="0" applyNumberFormat="1" applyFont="1" applyFill="1" applyBorder="1" applyAlignment="1" applyProtection="1">
      <alignment horizontal="center" vertical="center"/>
      <protection locked="0"/>
    </xf>
    <xf numFmtId="1" fontId="7" fillId="0" borderId="0" xfId="0" applyNumberFormat="1" applyFont="1" applyAlignment="1" applyProtection="1">
      <alignment horizontal="center" vertical="center"/>
      <protection locked="0"/>
    </xf>
    <xf numFmtId="188" fontId="6" fillId="0" borderId="6" xfId="0" applyNumberFormat="1" applyFont="1" applyBorder="1" applyAlignment="1" applyProtection="1">
      <alignment horizontal="center" vertical="center"/>
      <protection locked="0"/>
    </xf>
    <xf numFmtId="180" fontId="6" fillId="10" borderId="6" xfId="0" applyNumberFormat="1" applyFont="1" applyFill="1" applyBorder="1" applyAlignment="1" applyProtection="1">
      <alignment horizontal="center" vertical="center"/>
      <protection locked="0"/>
    </xf>
    <xf numFmtId="186" fontId="6" fillId="0" borderId="27" xfId="0" applyNumberFormat="1" applyFont="1" applyBorder="1" applyAlignment="1" applyProtection="1">
      <alignment horizontal="center" vertical="center"/>
      <protection locked="0"/>
    </xf>
    <xf numFmtId="189" fontId="13" fillId="0" borderId="0" xfId="0" applyNumberFormat="1" applyFont="1" applyAlignment="1" applyProtection="1">
      <alignment horizontal="center" vertical="center"/>
      <protection locked="0"/>
    </xf>
    <xf numFmtId="178" fontId="7" fillId="6" borderId="6" xfId="0" applyNumberFormat="1" applyFont="1" applyFill="1" applyBorder="1" applyAlignment="1" applyProtection="1">
      <alignment horizontal="center" vertical="center"/>
      <protection locked="0"/>
    </xf>
    <xf numFmtId="180" fontId="7" fillId="8" borderId="6" xfId="0" applyNumberFormat="1" applyFont="1" applyFill="1" applyBorder="1" applyAlignment="1" applyProtection="1">
      <alignment horizontal="center" vertical="center"/>
      <protection locked="0"/>
    </xf>
    <xf numFmtId="178" fontId="6" fillId="0" borderId="6" xfId="0" applyNumberFormat="1" applyFont="1" applyBorder="1" applyAlignment="1" applyProtection="1">
      <alignment horizontal="center" vertical="center"/>
      <protection locked="0"/>
    </xf>
    <xf numFmtId="182" fontId="6" fillId="8" borderId="6" xfId="0" applyNumberFormat="1" applyFont="1" applyFill="1" applyBorder="1" applyAlignment="1" applyProtection="1">
      <alignment horizontal="center" vertical="center"/>
      <protection locked="0"/>
    </xf>
    <xf numFmtId="188" fontId="6" fillId="6" borderId="27" xfId="0" applyNumberFormat="1" applyFont="1" applyFill="1" applyBorder="1" applyAlignment="1" applyProtection="1">
      <alignment horizontal="center" vertical="center"/>
      <protection locked="0"/>
    </xf>
    <xf numFmtId="188" fontId="5" fillId="0" borderId="0" xfId="0" applyNumberFormat="1" applyFont="1" applyAlignment="1" applyProtection="1">
      <alignment horizontal="center" vertical="center"/>
      <protection locked="0"/>
    </xf>
    <xf numFmtId="183" fontId="6" fillId="0" borderId="6" xfId="0" applyNumberFormat="1" applyFont="1" applyBorder="1" applyAlignment="1" applyProtection="1">
      <alignment horizontal="center" vertical="center"/>
      <protection locked="0"/>
    </xf>
    <xf numFmtId="182" fontId="6" fillId="10" borderId="6" xfId="0" applyNumberFormat="1" applyFont="1" applyFill="1" applyBorder="1" applyAlignment="1" applyProtection="1">
      <alignment horizontal="center" vertical="center"/>
      <protection locked="0"/>
    </xf>
    <xf numFmtId="178" fontId="6" fillId="0" borderId="27" xfId="0" applyNumberFormat="1" applyFont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  <protection locked="0"/>
    </xf>
    <xf numFmtId="185" fontId="7" fillId="0" borderId="0" xfId="0" applyNumberFormat="1" applyFont="1" applyAlignment="1" applyProtection="1">
      <alignment horizontal="center" vertical="center"/>
      <protection locked="0"/>
    </xf>
    <xf numFmtId="183" fontId="7" fillId="0" borderId="6" xfId="0" applyNumberFormat="1" applyFont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left" vertical="center"/>
      <protection locked="0"/>
    </xf>
    <xf numFmtId="180" fontId="6" fillId="9" borderId="14" xfId="0" applyNumberFormat="1" applyFont="1" applyFill="1" applyBorder="1" applyAlignment="1" applyProtection="1">
      <alignment horizontal="center" vertical="center"/>
      <protection locked="0"/>
    </xf>
    <xf numFmtId="189" fontId="7" fillId="0" borderId="0" xfId="0" applyNumberFormat="1" applyFont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  <protection locked="0"/>
    </xf>
    <xf numFmtId="180" fontId="6" fillId="0" borderId="14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78" fontId="6" fillId="6" borderId="27" xfId="0" applyNumberFormat="1" applyFont="1" applyFill="1" applyBorder="1" applyAlignment="1" applyProtection="1">
      <alignment horizontal="center" vertical="center"/>
      <protection locked="0"/>
    </xf>
    <xf numFmtId="176" fontId="9" fillId="0" borderId="0" xfId="0" applyNumberFormat="1" applyFont="1" applyAlignment="1" applyProtection="1">
      <alignment horizontal="center" vertical="center"/>
      <protection locked="0"/>
    </xf>
    <xf numFmtId="0" fontId="6" fillId="6" borderId="35" xfId="0" applyFont="1" applyFill="1" applyBorder="1" applyAlignment="1" applyProtection="1">
      <alignment horizontal="center" vertical="center"/>
      <protection locked="0"/>
    </xf>
    <xf numFmtId="0" fontId="6" fillId="6" borderId="51" xfId="0" applyFont="1" applyFill="1" applyBorder="1" applyAlignment="1" applyProtection="1">
      <alignment horizontal="center" vertical="center"/>
      <protection locked="0"/>
    </xf>
    <xf numFmtId="1" fontId="6" fillId="0" borderId="27" xfId="0" applyNumberFormat="1" applyFont="1" applyBorder="1" applyAlignment="1" applyProtection="1">
      <alignment horizontal="center" vertical="center"/>
      <protection locked="0"/>
    </xf>
    <xf numFmtId="0" fontId="6" fillId="6" borderId="10" xfId="0" applyFont="1" applyFill="1" applyBorder="1" applyAlignment="1" applyProtection="1">
      <alignment horizontal="left" vertical="center" shrinkToFit="1"/>
      <protection locked="0"/>
    </xf>
    <xf numFmtId="177" fontId="6" fillId="3" borderId="14" xfId="0" applyNumberFormat="1" applyFont="1" applyFill="1" applyBorder="1" applyAlignment="1" applyProtection="1">
      <alignment horizontal="center" vertical="center"/>
      <protection locked="0"/>
    </xf>
    <xf numFmtId="188" fontId="6" fillId="0" borderId="27" xfId="0" applyNumberFormat="1" applyFont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 applyProtection="1">
      <alignment horizontal="left" vertical="center" shrinkToFit="1"/>
      <protection locked="0"/>
    </xf>
    <xf numFmtId="180" fontId="6" fillId="4" borderId="5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left" vertical="center" shrinkToFit="1"/>
      <protection locked="0"/>
    </xf>
    <xf numFmtId="177" fontId="6" fillId="4" borderId="6" xfId="0" applyNumberFormat="1" applyFont="1" applyFill="1" applyBorder="1" applyAlignment="1" applyProtection="1">
      <alignment horizontal="center" vertical="center"/>
      <protection locked="0"/>
    </xf>
    <xf numFmtId="0" fontId="6" fillId="4" borderId="28" xfId="0" applyFont="1" applyFill="1" applyBorder="1" applyAlignment="1" applyProtection="1">
      <alignment horizontal="left" vertical="center" shrinkToFit="1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177" fontId="6" fillId="11" borderId="6" xfId="0" applyNumberFormat="1" applyFont="1" applyFill="1" applyBorder="1" applyAlignment="1" applyProtection="1">
      <alignment horizontal="center" vertical="center"/>
      <protection locked="0"/>
    </xf>
    <xf numFmtId="186" fontId="6" fillId="0" borderId="46" xfId="0" applyNumberFormat="1" applyFont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left" vertical="center" wrapText="1"/>
      <protection locked="0"/>
    </xf>
    <xf numFmtId="2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190" fontId="6" fillId="11" borderId="6" xfId="0" applyNumberFormat="1" applyFont="1" applyFill="1" applyBorder="1" applyAlignment="1" applyProtection="1">
      <alignment horizontal="center" vertical="center"/>
      <protection locked="0"/>
    </xf>
    <xf numFmtId="181" fontId="6" fillId="11" borderId="6" xfId="0" applyNumberFormat="1" applyFont="1" applyFill="1" applyBorder="1" applyAlignment="1" applyProtection="1">
      <alignment horizontal="center" vertical="center"/>
      <protection locked="0"/>
    </xf>
    <xf numFmtId="0" fontId="6" fillId="4" borderId="10" xfId="0" applyFont="1" applyFill="1" applyBorder="1" applyAlignment="1" applyProtection="1">
      <alignment horizontal="left" vertical="center" shrinkToFit="1"/>
      <protection locked="0"/>
    </xf>
    <xf numFmtId="180" fontId="6" fillId="4" borderId="14" xfId="0" applyNumberFormat="1" applyFont="1" applyFill="1" applyBorder="1" applyAlignment="1" applyProtection="1">
      <alignment horizontal="center" vertical="center"/>
      <protection locked="0"/>
    </xf>
    <xf numFmtId="0" fontId="6" fillId="7" borderId="28" xfId="0" applyFont="1" applyFill="1" applyBorder="1" applyAlignment="1" applyProtection="1">
      <alignment horizontal="left" vertical="center" shrinkToFit="1"/>
      <protection locked="0"/>
    </xf>
    <xf numFmtId="0" fontId="6" fillId="7" borderId="30" xfId="0" applyFont="1" applyFill="1" applyBorder="1" applyAlignment="1" applyProtection="1">
      <alignment horizontal="center" vertical="center"/>
      <protection locked="0"/>
    </xf>
    <xf numFmtId="0" fontId="6" fillId="7" borderId="31" xfId="0" applyFont="1" applyFill="1" applyBorder="1" applyAlignment="1" applyProtection="1">
      <alignment horizontal="left" vertical="center" shrinkToFit="1"/>
      <protection locked="0"/>
    </xf>
    <xf numFmtId="0" fontId="6" fillId="7" borderId="32" xfId="0" applyFont="1" applyFill="1" applyBorder="1" applyAlignment="1" applyProtection="1">
      <alignment horizontal="center" vertical="center"/>
      <protection locked="0"/>
    </xf>
    <xf numFmtId="0" fontId="6" fillId="6" borderId="2" xfId="0" applyFont="1" applyFill="1" applyBorder="1" applyAlignment="1" applyProtection="1">
      <alignment horizontal="left" vertical="center"/>
      <protection locked="0"/>
    </xf>
    <xf numFmtId="184" fontId="6" fillId="3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6" borderId="2" xfId="0" applyFont="1" applyFill="1" applyBorder="1" applyAlignment="1" applyProtection="1">
      <alignment horizontal="left" vertical="center" shrinkToFit="1"/>
      <protection locked="0"/>
    </xf>
    <xf numFmtId="191" fontId="6" fillId="12" borderId="6" xfId="0" applyNumberFormat="1" applyFont="1" applyFill="1" applyBorder="1" applyAlignment="1" applyProtection="1">
      <alignment horizontal="center" vertical="center"/>
      <protection locked="0"/>
    </xf>
    <xf numFmtId="184" fontId="6" fillId="7" borderId="6" xfId="0" applyNumberFormat="1" applyFont="1" applyFill="1" applyBorder="1" applyAlignment="1" applyProtection="1">
      <alignment horizontal="center" vertical="center"/>
      <protection locked="0"/>
    </xf>
    <xf numFmtId="182" fontId="6" fillId="3" borderId="6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  <protection locked="0"/>
    </xf>
    <xf numFmtId="11" fontId="6" fillId="0" borderId="0" xfId="0" applyNumberFormat="1" applyFont="1" applyAlignment="1" applyProtection="1">
      <alignment horizontal="center" vertical="center"/>
      <protection locked="0"/>
    </xf>
    <xf numFmtId="187" fontId="6" fillId="13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184" fontId="6" fillId="3" borderId="6" xfId="1" applyNumberFormat="1" applyFont="1" applyFill="1" applyBorder="1" applyAlignment="1" applyProtection="1">
      <alignment horizontal="center" vertical="center"/>
      <protection locked="0"/>
    </xf>
    <xf numFmtId="0" fontId="6" fillId="6" borderId="28" xfId="0" applyFont="1" applyFill="1" applyBorder="1" applyAlignment="1" applyProtection="1">
      <alignment horizontal="left" vertical="center"/>
      <protection locked="0"/>
    </xf>
    <xf numFmtId="184" fontId="6" fillId="5" borderId="5" xfId="1" applyNumberFormat="1" applyFont="1" applyFill="1" applyBorder="1" applyAlignment="1" applyProtection="1">
      <alignment horizontal="center" vertical="center"/>
      <protection locked="0"/>
    </xf>
    <xf numFmtId="184" fontId="6" fillId="5" borderId="6" xfId="1" applyNumberFormat="1" applyFont="1" applyFill="1" applyBorder="1" applyAlignment="1" applyProtection="1">
      <alignment horizontal="center" vertical="center"/>
      <protection locked="0"/>
    </xf>
    <xf numFmtId="184" fontId="6" fillId="5" borderId="53" xfId="1" applyNumberFormat="1" applyFont="1" applyFill="1" applyBorder="1" applyAlignment="1" applyProtection="1">
      <alignment horizontal="center" vertical="center"/>
      <protection locked="0"/>
    </xf>
    <xf numFmtId="0" fontId="6" fillId="6" borderId="10" xfId="0" applyFont="1" applyFill="1" applyBorder="1" applyAlignment="1" applyProtection="1">
      <alignment horizontal="left" vertical="center"/>
      <protection locked="0"/>
    </xf>
    <xf numFmtId="184" fontId="6" fillId="5" borderId="14" xfId="1" applyNumberFormat="1" applyFont="1" applyFill="1" applyBorder="1" applyAlignment="1" applyProtection="1">
      <alignment horizontal="center" vertical="center"/>
      <protection locked="0"/>
    </xf>
    <xf numFmtId="184" fontId="6" fillId="6" borderId="6" xfId="0" applyNumberFormat="1" applyFont="1" applyFill="1" applyBorder="1" applyAlignment="1" applyProtection="1">
      <alignment horizontal="center" vertical="center"/>
      <protection locked="0"/>
    </xf>
    <xf numFmtId="184" fontId="6" fillId="6" borderId="14" xfId="0" applyNumberFormat="1" applyFont="1" applyFill="1" applyBorder="1" applyAlignment="1" applyProtection="1">
      <alignment horizontal="center" vertical="center"/>
      <protection locked="0"/>
    </xf>
    <xf numFmtId="2" fontId="6" fillId="0" borderId="0" xfId="0" applyNumberFormat="1" applyFont="1" applyAlignment="1" applyProtection="1">
      <alignment horizontal="left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shrinkToFit="1"/>
      <protection locked="0"/>
    </xf>
    <xf numFmtId="2" fontId="6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4" xfId="0" applyFont="1" applyFill="1" applyBorder="1" applyAlignment="1" applyProtection="1">
      <alignment horizontal="center" vertical="center" shrinkToFit="1"/>
      <protection locked="0"/>
    </xf>
    <xf numFmtId="2" fontId="6" fillId="2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5" xfId="0" applyFont="1" applyFill="1" applyBorder="1" applyAlignment="1" applyProtection="1">
      <alignment horizontal="center" vertical="center" shrinkToFit="1"/>
      <protection locked="0"/>
    </xf>
    <xf numFmtId="2" fontId="6" fillId="2" borderId="5" xfId="0" applyNumberFormat="1" applyFont="1" applyFill="1" applyBorder="1" applyAlignment="1" applyProtection="1">
      <alignment horizontal="center" vertical="center"/>
      <protection locked="0"/>
    </xf>
    <xf numFmtId="0" fontId="6" fillId="4" borderId="10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  <protection locked="0"/>
    </xf>
    <xf numFmtId="182" fontId="6" fillId="4" borderId="12" xfId="0" applyNumberFormat="1" applyFont="1" applyFill="1" applyBorder="1" applyAlignment="1" applyProtection="1">
      <alignment horizontal="center" vertical="center"/>
      <protection locked="0"/>
    </xf>
    <xf numFmtId="177" fontId="6" fillId="4" borderId="12" xfId="0" applyNumberFormat="1" applyFont="1" applyFill="1" applyBorder="1" applyAlignment="1" applyProtection="1">
      <alignment horizontal="center" vertical="center"/>
      <protection locked="0"/>
    </xf>
    <xf numFmtId="176" fontId="6" fillId="4" borderId="12" xfId="0" applyNumberFormat="1" applyFont="1" applyFill="1" applyBorder="1" applyAlignment="1" applyProtection="1">
      <alignment horizontal="center" vertical="center"/>
      <protection locked="0"/>
    </xf>
    <xf numFmtId="1" fontId="6" fillId="4" borderId="13" xfId="0" applyNumberFormat="1" applyFont="1" applyFill="1" applyBorder="1" applyAlignment="1" applyProtection="1">
      <alignment horizontal="center" vertical="center"/>
      <protection locked="0"/>
    </xf>
    <xf numFmtId="38" fontId="6" fillId="4" borderId="12" xfId="1" applyFont="1" applyFill="1" applyBorder="1" applyAlignment="1" applyProtection="1">
      <alignment horizontal="center" vertical="center"/>
      <protection locked="0"/>
    </xf>
    <xf numFmtId="2" fontId="6" fillId="2" borderId="14" xfId="0" applyNumberFormat="1" applyFont="1" applyFill="1" applyBorder="1" applyAlignment="1" applyProtection="1">
      <alignment horizontal="left" vertical="center" shrinkToFit="1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2" fontId="6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6" fillId="3" borderId="27" xfId="0" applyFont="1" applyFill="1" applyBorder="1" applyAlignment="1" applyProtection="1">
      <alignment horizontal="center" vertical="center"/>
      <protection locked="0"/>
    </xf>
    <xf numFmtId="0" fontId="6" fillId="4" borderId="52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2" fontId="6" fillId="3" borderId="7" xfId="0" applyNumberFormat="1" applyFont="1" applyFill="1" applyBorder="1" applyAlignment="1" applyProtection="1">
      <alignment horizontal="center" vertical="center"/>
      <protection locked="0"/>
    </xf>
    <xf numFmtId="179" fontId="6" fillId="4" borderId="7" xfId="0" applyNumberFormat="1" applyFont="1" applyFill="1" applyBorder="1" applyAlignment="1" applyProtection="1">
      <alignment horizontal="center" vertical="center"/>
      <protection locked="0"/>
    </xf>
    <xf numFmtId="2" fontId="6" fillId="4" borderId="15" xfId="0" applyNumberFormat="1" applyFont="1" applyFill="1" applyBorder="1" applyAlignment="1" applyProtection="1">
      <alignment horizontal="center" vertical="center"/>
      <protection locked="0"/>
    </xf>
    <xf numFmtId="2" fontId="6" fillId="2" borderId="47" xfId="0" applyNumberFormat="1" applyFont="1" applyFill="1" applyBorder="1" applyAlignment="1" applyProtection="1">
      <alignment horizontal="left" vertical="center" wrapText="1"/>
      <protection locked="0"/>
    </xf>
    <xf numFmtId="0" fontId="6" fillId="4" borderId="50" xfId="0" applyFont="1" applyFill="1" applyBorder="1" applyAlignment="1" applyProtection="1">
      <alignment horizontal="center" vertical="center" wrapText="1"/>
      <protection locked="0"/>
    </xf>
    <xf numFmtId="2" fontId="6" fillId="2" borderId="48" xfId="0" applyNumberFormat="1" applyFont="1" applyFill="1" applyBorder="1" applyAlignment="1" applyProtection="1">
      <alignment horizontal="left" vertical="center" wrapText="1"/>
      <protection locked="0"/>
    </xf>
    <xf numFmtId="0" fontId="6" fillId="3" borderId="46" xfId="0" applyFont="1" applyFill="1" applyBorder="1" applyAlignment="1" applyProtection="1">
      <alignment horizontal="center" vertical="center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  <xf numFmtId="2" fontId="6" fillId="3" borderId="8" xfId="0" applyNumberFormat="1" applyFont="1" applyFill="1" applyBorder="1" applyAlignment="1" applyProtection="1">
      <alignment horizontal="center" vertical="center"/>
      <protection locked="0"/>
    </xf>
    <xf numFmtId="179" fontId="6" fillId="4" borderId="8" xfId="0" applyNumberFormat="1" applyFont="1" applyFill="1" applyBorder="1" applyAlignment="1" applyProtection="1">
      <alignment horizontal="center" vertical="center"/>
      <protection locked="0"/>
    </xf>
    <xf numFmtId="2" fontId="6" fillId="4" borderId="16" xfId="0" applyNumberFormat="1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left" vertical="center"/>
      <protection locked="0"/>
    </xf>
    <xf numFmtId="0" fontId="6" fillId="2" borderId="23" xfId="0" applyFont="1" applyFill="1" applyBorder="1" applyAlignment="1" applyProtection="1">
      <alignment horizontal="left" vertical="center"/>
      <protection locked="0"/>
    </xf>
    <xf numFmtId="0" fontId="6" fillId="2" borderId="2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 shrinkToFit="1"/>
      <protection locked="0"/>
    </xf>
    <xf numFmtId="0" fontId="6" fillId="2" borderId="25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6" fillId="2" borderId="38" xfId="0" applyFont="1" applyFill="1" applyBorder="1" applyAlignment="1" applyProtection="1">
      <alignment horizontal="left" vertical="center"/>
      <protection locked="0"/>
    </xf>
    <xf numFmtId="181" fontId="6" fillId="2" borderId="39" xfId="0" applyNumberFormat="1" applyFont="1" applyFill="1" applyBorder="1" applyAlignment="1" applyProtection="1">
      <alignment horizontal="right" vertical="center"/>
      <protection locked="0"/>
    </xf>
    <xf numFmtId="181" fontId="6" fillId="2" borderId="5" xfId="0" applyNumberFormat="1" applyFont="1" applyFill="1" applyBorder="1" applyAlignment="1" applyProtection="1">
      <alignment horizontal="right" vertical="center"/>
      <protection locked="0"/>
    </xf>
    <xf numFmtId="0" fontId="6" fillId="2" borderId="25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0" fontId="6" fillId="2" borderId="38" xfId="0" applyFont="1" applyFill="1" applyBorder="1" applyAlignment="1" applyProtection="1">
      <alignment vertical="center"/>
      <protection locked="0"/>
    </xf>
    <xf numFmtId="181" fontId="6" fillId="2" borderId="40" xfId="0" applyNumberFormat="1" applyFont="1" applyFill="1" applyBorder="1" applyAlignment="1" applyProtection="1">
      <alignment horizontal="right" vertical="center"/>
      <protection locked="0"/>
    </xf>
    <xf numFmtId="181" fontId="6" fillId="2" borderId="6" xfId="0" applyNumberFormat="1" applyFont="1" applyFill="1" applyBorder="1" applyAlignment="1" applyProtection="1">
      <alignment horizontal="right" vertical="center"/>
      <protection locked="0"/>
    </xf>
    <xf numFmtId="0" fontId="6" fillId="2" borderId="41" xfId="0" applyFont="1" applyFill="1" applyBorder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vertical="center"/>
      <protection locked="0"/>
    </xf>
    <xf numFmtId="0" fontId="6" fillId="2" borderId="42" xfId="0" applyFont="1" applyFill="1" applyBorder="1" applyAlignment="1" applyProtection="1">
      <alignment horizontal="left" vertical="center"/>
      <protection locked="0"/>
    </xf>
    <xf numFmtId="181" fontId="6" fillId="2" borderId="43" xfId="0" applyNumberFormat="1" applyFont="1" applyFill="1" applyBorder="1" applyAlignment="1" applyProtection="1">
      <alignment horizontal="right" vertical="center"/>
      <protection locked="0"/>
    </xf>
    <xf numFmtId="181" fontId="6" fillId="2" borderId="14" xfId="0" applyNumberFormat="1" applyFont="1" applyFill="1" applyBorder="1" applyAlignment="1" applyProtection="1">
      <alignment horizontal="right" vertical="center"/>
      <protection locked="0"/>
    </xf>
    <xf numFmtId="177" fontId="6" fillId="0" borderId="0" xfId="0" applyNumberFormat="1" applyFont="1" applyAlignment="1" applyProtection="1">
      <alignment horizontal="right" vertical="center"/>
      <protection locked="0"/>
    </xf>
    <xf numFmtId="2" fontId="6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6" fillId="4" borderId="12" xfId="0" applyFont="1" applyFill="1" applyBorder="1" applyAlignment="1" applyProtection="1">
      <alignment horizontal="center" vertical="center"/>
      <protection locked="0"/>
    </xf>
    <xf numFmtId="177" fontId="6" fillId="4" borderId="14" xfId="0" applyNumberFormat="1" applyFont="1" applyFill="1" applyBorder="1" applyAlignment="1" applyProtection="1">
      <alignment horizontal="center" vertical="center"/>
      <protection locked="0"/>
    </xf>
    <xf numFmtId="179" fontId="6" fillId="0" borderId="0" xfId="0" applyNumberFormat="1" applyFont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 shrinkToFit="1"/>
      <protection locked="0"/>
    </xf>
    <xf numFmtId="2" fontId="6" fillId="2" borderId="20" xfId="0" applyNumberFormat="1" applyFont="1" applyFill="1" applyBorder="1" applyAlignment="1" applyProtection="1">
      <alignment horizontal="center" vertical="center"/>
      <protection locked="0"/>
    </xf>
    <xf numFmtId="0" fontId="6" fillId="4" borderId="49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/>
      <protection locked="0"/>
    </xf>
    <xf numFmtId="179" fontId="6" fillId="4" borderId="4" xfId="0" applyNumberFormat="1" applyFont="1" applyFill="1" applyBorder="1" applyAlignment="1" applyProtection="1">
      <alignment horizontal="center" vertical="center"/>
      <protection locked="0"/>
    </xf>
    <xf numFmtId="1" fontId="6" fillId="4" borderId="5" xfId="0" applyNumberFormat="1" applyFont="1" applyFill="1" applyBorder="1" applyAlignment="1" applyProtection="1">
      <alignment horizontal="center" vertical="center"/>
      <protection locked="0"/>
    </xf>
    <xf numFmtId="2" fontId="6" fillId="4" borderId="37" xfId="0" applyNumberFormat="1" applyFont="1" applyFill="1" applyBorder="1" applyAlignment="1" applyProtection="1">
      <alignment horizontal="center" vertical="center"/>
      <protection locked="0"/>
    </xf>
    <xf numFmtId="179" fontId="6" fillId="4" borderId="21" xfId="0" applyNumberFormat="1" applyFont="1" applyFill="1" applyBorder="1" applyAlignment="1" applyProtection="1">
      <alignment horizontal="center" vertical="center"/>
      <protection locked="0"/>
    </xf>
    <xf numFmtId="1" fontId="6" fillId="4" borderId="6" xfId="0" applyNumberFormat="1" applyFont="1" applyFill="1" applyBorder="1" applyAlignment="1" applyProtection="1">
      <alignment horizontal="center" vertical="center"/>
      <protection locked="0"/>
    </xf>
    <xf numFmtId="179" fontId="6" fillId="4" borderId="22" xfId="0" applyNumberFormat="1" applyFont="1" applyFill="1" applyBorder="1" applyAlignment="1" applyProtection="1">
      <alignment horizontal="center" vertical="center"/>
      <protection locked="0"/>
    </xf>
    <xf numFmtId="1" fontId="6" fillId="4" borderId="14" xfId="0" applyNumberFormat="1" applyFont="1" applyFill="1" applyBorder="1" applyAlignment="1" applyProtection="1">
      <alignment horizontal="center" vertical="center"/>
      <protection locked="0"/>
    </xf>
    <xf numFmtId="2" fontId="6" fillId="4" borderId="44" xfId="0" applyNumberFormat="1" applyFont="1" applyFill="1" applyBorder="1" applyAlignment="1" applyProtection="1">
      <alignment horizontal="center" vertical="center"/>
      <protection locked="0"/>
    </xf>
    <xf numFmtId="2" fontId="6" fillId="0" borderId="0" xfId="0" applyNumberFormat="1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11" fontId="12" fillId="0" borderId="0" xfId="0" applyNumberFormat="1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1" fontId="11" fillId="0" borderId="0" xfId="0" applyNumberFormat="1" applyFont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冷温水一次ポンプ</a:t>
            </a:r>
          </a:p>
        </c:rich>
      </c:tx>
      <c:layout>
        <c:manualLayout>
          <c:xMode val="edge"/>
          <c:yMode val="edge"/>
          <c:x val="0.37393246517262263"/>
          <c:y val="4.0579710144927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976760332225696"/>
          <c:y val="0.19268590051623777"/>
          <c:w val="0.65224881550386582"/>
          <c:h val="0.66063737319852944"/>
        </c:manualLayout>
      </c:layout>
      <c:scatterChart>
        <c:scatterStyle val="smoothMarker"/>
        <c:varyColors val="0"/>
        <c:ser>
          <c:idx val="2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square"/>
            <c:size val="9"/>
            <c:spPr>
              <a:noFill/>
              <a:ln w="9525">
                <a:noFill/>
              </a:ln>
            </c:spPr>
          </c:marker>
          <c:xVal>
            <c:numRef>
              <c:f>冷温水一次ポンプ属性部変更用シート!$F$88:$F$92</c:f>
              <c:numCache>
                <c:formatCode>General</c:formatCode>
                <c:ptCount val="5"/>
                <c:pt idx="0">
                  <c:v>1000</c:v>
                </c:pt>
                <c:pt idx="1">
                  <c:v>1200</c:v>
                </c:pt>
                <c:pt idx="2">
                  <c:v>1600</c:v>
                </c:pt>
                <c:pt idx="3">
                  <c:v>2000</c:v>
                </c:pt>
                <c:pt idx="4">
                  <c:v>2400</c:v>
                </c:pt>
              </c:numCache>
            </c:numRef>
          </c:xVal>
          <c:yVal>
            <c:numRef>
              <c:f>冷温水一次ポンプ属性部変更用シート!$I$88:$I$92</c:f>
              <c:numCache>
                <c:formatCode>0.00</c:formatCode>
                <c:ptCount val="5"/>
                <c:pt idx="0">
                  <c:v>73.5</c:v>
                </c:pt>
                <c:pt idx="1">
                  <c:v>105.84</c:v>
                </c:pt>
                <c:pt idx="2">
                  <c:v>188.16000000000003</c:v>
                </c:pt>
                <c:pt idx="3">
                  <c:v>294</c:v>
                </c:pt>
                <c:pt idx="4">
                  <c:v>423.36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83-4495-852E-1A7904600DE0}"/>
            </c:ext>
          </c:extLst>
        </c:ser>
        <c:ser>
          <c:idx val="1"/>
          <c:order val="1"/>
          <c:tx>
            <c:v>P-Q線図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ly"/>
            <c:order val="2"/>
            <c:forward val="3"/>
            <c:backward val="3"/>
            <c:dispRSqr val="0"/>
            <c:dispEq val="0"/>
          </c:trendline>
          <c:xVal>
            <c:numRef>
              <c:f>冷温水一次ポンプ属性部変更用シート!$F$88:$F$92</c:f>
              <c:numCache>
                <c:formatCode>General</c:formatCode>
                <c:ptCount val="5"/>
                <c:pt idx="0">
                  <c:v>1000</c:v>
                </c:pt>
                <c:pt idx="1">
                  <c:v>1200</c:v>
                </c:pt>
                <c:pt idx="2">
                  <c:v>1600</c:v>
                </c:pt>
                <c:pt idx="3">
                  <c:v>2000</c:v>
                </c:pt>
                <c:pt idx="4">
                  <c:v>2400</c:v>
                </c:pt>
              </c:numCache>
            </c:numRef>
          </c:xVal>
          <c:yVal>
            <c:numRef>
              <c:f>冷温水一次ポンプ属性部変更用シート!$H$88:$H$92</c:f>
              <c:numCache>
                <c:formatCode>0</c:formatCode>
                <c:ptCount val="5"/>
                <c:pt idx="0">
                  <c:v>340.58247422680415</c:v>
                </c:pt>
                <c:pt idx="1">
                  <c:v>334.19818556701034</c:v>
                </c:pt>
                <c:pt idx="2">
                  <c:v>317.26944329896907</c:v>
                </c:pt>
                <c:pt idx="3">
                  <c:v>294.79381443298973</c:v>
                </c:pt>
                <c:pt idx="4">
                  <c:v>266.77129896907218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683-4495-852E-1A7904600DE0}"/>
            </c:ext>
          </c:extLst>
        </c:ser>
        <c:ser>
          <c:idx val="3"/>
          <c:order val="2"/>
          <c:tx>
            <c:strRef>
              <c:f>冷温水一次ポンプ属性部変更用シート!$D$86</c:f>
              <c:strCache>
                <c:ptCount val="1"/>
                <c:pt idx="0">
                  <c:v>設計仕様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3"/>
            <c:spPr>
              <a:solidFill>
                <a:srgbClr val="FF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冷温水一次ポンプ属性部変更用シート!$F$86</c:f>
              <c:numCache>
                <c:formatCode>General</c:formatCode>
                <c:ptCount val="1"/>
                <c:pt idx="0">
                  <c:v>2000</c:v>
                </c:pt>
              </c:numCache>
            </c:numRef>
          </c:xVal>
          <c:yVal>
            <c:numRef>
              <c:f>冷温水一次ポンプ属性部変更用シート!$I$86</c:f>
              <c:numCache>
                <c:formatCode>0_ </c:formatCode>
                <c:ptCount val="1"/>
                <c:pt idx="0">
                  <c:v>294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683-4495-852E-1A7904600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092384"/>
        <c:axId val="867092776"/>
      </c:scatterChart>
      <c:valAx>
        <c:axId val="86709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水量 (</a:t>
                </a: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L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/min)</a:t>
                </a:r>
              </a:p>
            </c:rich>
          </c:tx>
          <c:layout>
            <c:manualLayout>
              <c:xMode val="edge"/>
              <c:yMode val="edge"/>
              <c:x val="0.36538545662561406"/>
              <c:y val="0.9188413404846134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67092776"/>
        <c:crosses val="autoZero"/>
        <c:crossBetween val="midCat"/>
      </c:valAx>
      <c:valAx>
        <c:axId val="867092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揚程 (kPa)</a:t>
                </a:r>
              </a:p>
            </c:rich>
          </c:tx>
          <c:layout>
            <c:manualLayout>
              <c:xMode val="edge"/>
              <c:yMode val="edge"/>
              <c:x val="1.4957264957264958E-2"/>
              <c:y val="0.4231887861843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67092384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3066856944939962"/>
          <c:y val="0.28014281410271952"/>
          <c:w val="0.22666725694598164"/>
          <c:h val="0.106383347127614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冷温水一次ポンプ</a:t>
            </a:r>
          </a:p>
        </c:rich>
      </c:tx>
      <c:layout>
        <c:manualLayout>
          <c:xMode val="edge"/>
          <c:yMode val="edge"/>
          <c:x val="0.37393246517262263"/>
          <c:y val="9.4286089238845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53222140340068"/>
          <c:y val="0.23216472397020949"/>
          <c:w val="0.71154416236785356"/>
          <c:h val="0.61550647750241583"/>
        </c:manualLayout>
      </c:layout>
      <c:scatterChart>
        <c:scatterStyle val="smoothMarker"/>
        <c:varyColors val="0"/>
        <c:ser>
          <c:idx val="2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square"/>
            <c:size val="9"/>
            <c:spPr>
              <a:noFill/>
              <a:ln w="9525">
                <a:noFill/>
              </a:ln>
            </c:spPr>
          </c:marker>
          <c:xVal>
            <c:numRef>
              <c:f>冷温水一次ポンプ属性部変更用シート!$H$75:$H$82</c:f>
              <c:numCache>
                <c:formatCode>0.0_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1.3333333333333332E-2</c:v>
                </c:pt>
                <c:pt idx="3">
                  <c:v>0.02</c:v>
                </c:pt>
                <c:pt idx="4">
                  <c:v>2.6666666666666665E-2</c:v>
                </c:pt>
                <c:pt idx="5">
                  <c:v>3.3333333333333333E-2</c:v>
                </c:pt>
                <c:pt idx="6">
                  <c:v>0.04</c:v>
                </c:pt>
                <c:pt idx="7">
                  <c:v>4.6666666666666662E-2</c:v>
                </c:pt>
              </c:numCache>
            </c:numRef>
          </c:xVal>
          <c:yVal>
            <c:numRef>
              <c:f>冷温水一次ポンプ属性部変更用シート!$I$75:$I$82</c:f>
              <c:numCache>
                <c:formatCode>0.0_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47.039999999999992</c:v>
                </c:pt>
                <c:pt idx="3">
                  <c:v>105.84</c:v>
                </c:pt>
                <c:pt idx="4">
                  <c:v>188.15999999999997</c:v>
                </c:pt>
                <c:pt idx="5">
                  <c:v>294</c:v>
                </c:pt>
                <c:pt idx="6">
                  <c:v>423.36</c:v>
                </c:pt>
                <c:pt idx="7">
                  <c:v>576.2399999999999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1D-4EA2-8574-EB1976CD01DC}"/>
            </c:ext>
          </c:extLst>
        </c:ser>
        <c:ser>
          <c:idx val="1"/>
          <c:order val="1"/>
          <c:tx>
            <c:strRef>
              <c:f>冷温水一次ポンプ属性部変更用シート!$I$65</c:f>
              <c:strCache>
                <c:ptCount val="1"/>
                <c:pt idx="0">
                  <c:v>P-Q特性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ly"/>
            <c:order val="2"/>
            <c:forward val="1.0000000000000002E-2"/>
            <c:backward val="1.0000000000000002E-2"/>
            <c:dispRSqr val="0"/>
            <c:dispEq val="1"/>
            <c:trendlineLbl>
              <c:layout>
                <c:manualLayout>
                  <c:x val="-8.3610198743386738E-2"/>
                  <c:y val="-0.32100205494634826"/>
                </c:manualLayout>
              </c:layout>
              <c:numFmt formatCode="General" sourceLinked="0"/>
              <c:spPr>
                <a:noFill/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冷温水一次ポンプ属性部変更用シート!$H$69:$H$73</c:f>
              <c:numCache>
                <c:formatCode>0.000</c:formatCode>
                <c:ptCount val="5"/>
                <c:pt idx="0">
                  <c:v>0</c:v>
                </c:pt>
                <c:pt idx="1">
                  <c:v>1.6666666666666666E-2</c:v>
                </c:pt>
                <c:pt idx="2">
                  <c:v>2.5000000000000001E-2</c:v>
                </c:pt>
                <c:pt idx="3">
                  <c:v>3.3333333333333333E-2</c:v>
                </c:pt>
                <c:pt idx="4">
                  <c:v>4.1666666666666664E-2</c:v>
                </c:pt>
              </c:numCache>
            </c:numRef>
          </c:xVal>
          <c:yVal>
            <c:numRef>
              <c:f>冷温水一次ポンプ属性部変更用シート!$I$69:$I$73</c:f>
              <c:numCache>
                <c:formatCode>0.00</c:formatCode>
                <c:ptCount val="5"/>
                <c:pt idx="0">
                  <c:v>351.82</c:v>
                </c:pt>
                <c:pt idx="1">
                  <c:v>340.06000000000006</c:v>
                </c:pt>
                <c:pt idx="2">
                  <c:v>322.42</c:v>
                </c:pt>
                <c:pt idx="3">
                  <c:v>294.98</c:v>
                </c:pt>
                <c:pt idx="4">
                  <c:v>258.72000000000003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D1D-4EA2-8574-EB1976CD01DC}"/>
            </c:ext>
          </c:extLst>
        </c:ser>
        <c:ser>
          <c:idx val="3"/>
          <c:order val="2"/>
          <c:tx>
            <c:strRef>
              <c:f>冷温水一次ポンプ属性部変更用シート!$D$67</c:f>
              <c:strCache>
                <c:ptCount val="1"/>
                <c:pt idx="0">
                  <c:v>設計仕様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3"/>
            <c:spPr>
              <a:solidFill>
                <a:srgbClr val="FF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冷温水一次ポンプ属性部変更用シート!$H$67</c:f>
              <c:numCache>
                <c:formatCode>0.0</c:formatCode>
                <c:ptCount val="1"/>
                <c:pt idx="0">
                  <c:v>3.3333333333333333E-2</c:v>
                </c:pt>
              </c:numCache>
            </c:numRef>
          </c:xVal>
          <c:yVal>
            <c:numRef>
              <c:f>冷温水一次ポンプ属性部変更用シート!$I$67</c:f>
              <c:numCache>
                <c:formatCode>0</c:formatCode>
                <c:ptCount val="1"/>
                <c:pt idx="0">
                  <c:v>294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D1D-4EA2-8574-EB1976CD0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093560"/>
        <c:axId val="881903984"/>
      </c:scatterChart>
      <c:valAx>
        <c:axId val="86709356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水量(ｍ</a:t>
                </a: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/s)</a:t>
                </a:r>
              </a:p>
            </c:rich>
          </c:tx>
          <c:layout>
            <c:manualLayout>
              <c:xMode val="edge"/>
              <c:yMode val="edge"/>
              <c:x val="0.41239400363416112"/>
              <c:y val="0.920003749531308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81903984"/>
        <c:crosses val="autoZero"/>
        <c:crossBetween val="midCat"/>
      </c:valAx>
      <c:valAx>
        <c:axId val="881903984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揚程(kPa)</a:t>
                </a:r>
              </a:p>
            </c:rich>
          </c:tx>
          <c:layout>
            <c:manualLayout>
              <c:xMode val="edge"/>
              <c:yMode val="edge"/>
              <c:x val="1.4957264957264958E-2"/>
              <c:y val="0.44857330333708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67093560"/>
        <c:crosses val="autoZero"/>
        <c:crossBetween val="midCat"/>
        <c:maj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520019583384332"/>
          <c:y val="0.2762242478151084"/>
          <c:w val="0.22666725694598164"/>
          <c:h val="0.1013987745144068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83</xdr:row>
      <xdr:rowOff>0</xdr:rowOff>
    </xdr:from>
    <xdr:to>
      <xdr:col>13</xdr:col>
      <xdr:colOff>0</xdr:colOff>
      <xdr:row>98</xdr:row>
      <xdr:rowOff>114300</xdr:rowOff>
    </xdr:to>
    <xdr:graphicFrame macro="">
      <xdr:nvGraphicFramePr>
        <xdr:cNvPr id="1163291" name="Chart 3478">
          <a:extLst>
            <a:ext uri="{FF2B5EF4-FFF2-40B4-BE49-F238E27FC236}">
              <a16:creationId xmlns:a16="http://schemas.microsoft.com/office/drawing/2014/main" id="{00000000-0008-0000-0000-00001BC01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0</xdr:colOff>
      <xdr:row>67</xdr:row>
      <xdr:rowOff>19050</xdr:rowOff>
    </xdr:from>
    <xdr:to>
      <xdr:col>13</xdr:col>
      <xdr:colOff>0</xdr:colOff>
      <xdr:row>83</xdr:row>
      <xdr:rowOff>0</xdr:rowOff>
    </xdr:to>
    <xdr:graphicFrame macro="">
      <xdr:nvGraphicFramePr>
        <xdr:cNvPr id="1163292" name="Chart 3865">
          <a:extLst>
            <a:ext uri="{FF2B5EF4-FFF2-40B4-BE49-F238E27FC236}">
              <a16:creationId xmlns:a16="http://schemas.microsoft.com/office/drawing/2014/main" id="{00000000-0008-0000-0000-00001CC01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1314450</xdr:colOff>
      <xdr:row>3</xdr:row>
      <xdr:rowOff>123825</xdr:rowOff>
    </xdr:from>
    <xdr:to>
      <xdr:col>8</xdr:col>
      <xdr:colOff>962025</xdr:colOff>
      <xdr:row>8</xdr:row>
      <xdr:rowOff>57150</xdr:rowOff>
    </xdr:to>
    <xdr:grpSp>
      <xdr:nvGrpSpPr>
        <xdr:cNvPr id="1163293" name="Group 3926">
          <a:extLst>
            <a:ext uri="{FF2B5EF4-FFF2-40B4-BE49-F238E27FC236}">
              <a16:creationId xmlns:a16="http://schemas.microsoft.com/office/drawing/2014/main" id="{00000000-0008-0000-0000-00001DC01100}"/>
            </a:ext>
          </a:extLst>
        </xdr:cNvPr>
        <xdr:cNvGrpSpPr>
          <a:grpSpLocks/>
        </xdr:cNvGrpSpPr>
      </xdr:nvGrpSpPr>
      <xdr:grpSpPr bwMode="auto">
        <a:xfrm>
          <a:off x="1680210" y="626745"/>
          <a:ext cx="6475095" cy="771525"/>
          <a:chOff x="157" y="67"/>
          <a:chExt cx="681" cy="83"/>
        </a:xfrm>
      </xdr:grpSpPr>
      <xdr:sp macro="" textlink="">
        <xdr:nvSpPr>
          <xdr:cNvPr id="202545" name="Text Box 3889">
            <a:extLst>
              <a:ext uri="{FF2B5EF4-FFF2-40B4-BE49-F238E27FC236}">
                <a16:creationId xmlns:a16="http://schemas.microsoft.com/office/drawing/2014/main" id="{00000000-0008-0000-0000-0000311703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22" y="67"/>
            <a:ext cx="116" cy="60"/>
          </a:xfrm>
          <a:prstGeom prst="rect">
            <a:avLst/>
          </a:prstGeom>
          <a:solidFill>
            <a:srgbClr val="CCFFCC"/>
          </a:solidFill>
          <a:ln w="19050">
            <a:solidFill>
              <a:srgbClr val="003300"/>
            </a:solidFill>
            <a:miter lim="800000"/>
            <a:headEnd/>
            <a:tailEnd/>
          </a:ln>
        </xdr:spPr>
        <xdr:txBody>
          <a:bodyPr vertOverflow="clip" wrap="square" lIns="75600" tIns="46800" rIns="0" bIns="46800" anchor="t" upright="1"/>
          <a:lstStyle/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吐出圧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周波数</a:t>
            </a:r>
          </a:p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電力消費量</a:t>
            </a:r>
          </a:p>
        </xdr:txBody>
      </xdr:sp>
      <xdr:sp macro="" textlink="">
        <xdr:nvSpPr>
          <xdr:cNvPr id="202546" name="Text Box 3890">
            <a:extLst>
              <a:ext uri="{FF2B5EF4-FFF2-40B4-BE49-F238E27FC236}">
                <a16:creationId xmlns:a16="http://schemas.microsoft.com/office/drawing/2014/main" id="{00000000-0008-0000-0000-0000321703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" y="84"/>
            <a:ext cx="83" cy="25"/>
          </a:xfrm>
          <a:prstGeom prst="rect">
            <a:avLst/>
          </a:prstGeom>
          <a:solidFill>
            <a:srgbClr val="CCFFCC"/>
          </a:solidFill>
          <a:ln w="19050">
            <a:solidFill>
              <a:srgbClr val="003300"/>
            </a:solidFill>
            <a:miter lim="800000"/>
            <a:headEnd/>
            <a:tailEnd/>
          </a:ln>
        </xdr:spPr>
        <xdr:txBody>
          <a:bodyPr vertOverflow="clip" wrap="square" lIns="75600" tIns="46800" rIns="90000" bIns="46800" anchor="t" upright="1"/>
          <a:lstStyle/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水量</a:t>
            </a:r>
          </a:p>
          <a:p>
            <a:pPr algn="l" rtl="0">
              <a:defRPr sz="1000"/>
            </a:pPr>
            <a:endParaRPr lang="ja-JP" altLang="en-US" sz="1000" b="0" i="0" strike="noStrike">
              <a:solidFill>
                <a:srgbClr val="0033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202547" name="Rectangle 3891">
            <a:extLst>
              <a:ext uri="{FF2B5EF4-FFF2-40B4-BE49-F238E27FC236}">
                <a16:creationId xmlns:a16="http://schemas.microsoft.com/office/drawing/2014/main" id="{00000000-0008-0000-0000-000033170300}"/>
              </a:ext>
            </a:extLst>
          </xdr:cNvPr>
          <xdr:cNvSpPr>
            <a:spLocks noChangeArrowheads="1"/>
          </xdr:cNvSpPr>
        </xdr:nvSpPr>
        <xdr:spPr bwMode="auto">
          <a:xfrm>
            <a:off x="378" y="84"/>
            <a:ext cx="218" cy="25"/>
          </a:xfrm>
          <a:prstGeom prst="rect">
            <a:avLst/>
          </a:prstGeom>
          <a:solidFill>
            <a:srgbClr val="66FFFF"/>
          </a:solidFill>
          <a:ln w="28575">
            <a:solidFill>
              <a:srgbClr val="000099"/>
            </a:solidFill>
            <a:miter lim="800000"/>
            <a:headEnd/>
            <a:tailEnd/>
          </a:ln>
        </xdr:spPr>
        <xdr:txBody>
          <a:bodyPr vertOverflow="clip" wrap="square" lIns="74295" tIns="8890" rIns="74295" bIns="8890" anchor="t" upright="1"/>
          <a:lstStyle/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3300"/>
                </a:solidFill>
                <a:latin typeface="ＭＳ Ｐゴシック"/>
                <a:ea typeface="ＭＳ Ｐゴシック"/>
              </a:rPr>
              <a:t>冷温水一次ポンプモデル</a:t>
            </a:r>
          </a:p>
        </xdr:txBody>
      </xdr:sp>
      <xdr:sp macro="" textlink="">
        <xdr:nvSpPr>
          <xdr:cNvPr id="1163297" name="AutoShape 3892">
            <a:extLst>
              <a:ext uri="{FF2B5EF4-FFF2-40B4-BE49-F238E27FC236}">
                <a16:creationId xmlns:a16="http://schemas.microsoft.com/office/drawing/2014/main" id="{00000000-0008-0000-0000-000021C01100}"/>
              </a:ext>
            </a:extLst>
          </xdr:cNvPr>
          <xdr:cNvSpPr>
            <a:spLocks noChangeArrowheads="1"/>
          </xdr:cNvSpPr>
        </xdr:nvSpPr>
        <xdr:spPr bwMode="auto">
          <a:xfrm>
            <a:off x="275" y="81"/>
            <a:ext cx="82" cy="36"/>
          </a:xfrm>
          <a:prstGeom prst="rightArrow">
            <a:avLst>
              <a:gd name="adj1" fmla="val 50000"/>
              <a:gd name="adj2" fmla="val 56944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63298" name="AutoShape 3893">
            <a:extLst>
              <a:ext uri="{FF2B5EF4-FFF2-40B4-BE49-F238E27FC236}">
                <a16:creationId xmlns:a16="http://schemas.microsoft.com/office/drawing/2014/main" id="{00000000-0008-0000-0000-000022C01100}"/>
              </a:ext>
            </a:extLst>
          </xdr:cNvPr>
          <xdr:cNvSpPr>
            <a:spLocks noChangeArrowheads="1"/>
          </xdr:cNvSpPr>
        </xdr:nvSpPr>
        <xdr:spPr bwMode="auto">
          <a:xfrm>
            <a:off x="617" y="81"/>
            <a:ext cx="82" cy="34"/>
          </a:xfrm>
          <a:prstGeom prst="rightArrow">
            <a:avLst>
              <a:gd name="adj1" fmla="val 50000"/>
              <a:gd name="adj2" fmla="val 60294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02550" name="Text Box 3894">
            <a:extLst>
              <a:ext uri="{FF2B5EF4-FFF2-40B4-BE49-F238E27FC236}">
                <a16:creationId xmlns:a16="http://schemas.microsoft.com/office/drawing/2014/main" id="{00000000-0008-0000-0000-0000361703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8" y="127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1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入力</a:t>
            </a:r>
          </a:p>
        </xdr:txBody>
      </xdr:sp>
      <xdr:sp macro="" textlink="">
        <xdr:nvSpPr>
          <xdr:cNvPr id="202551" name="Text Box 3895">
            <a:extLst>
              <a:ext uri="{FF2B5EF4-FFF2-40B4-BE49-F238E27FC236}">
                <a16:creationId xmlns:a16="http://schemas.microsoft.com/office/drawing/2014/main" id="{00000000-0008-0000-0000-0000371703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4" y="126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91440" tIns="45720" rIns="91440" bIns="45720" anchor="t" upright="1">
            <a:spAutoFit/>
          </a:bodyPr>
          <a:lstStyle/>
          <a:p>
            <a:pPr algn="l" rtl="1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出力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0.01493</cdr:x>
      <cdr:y>0.01994</cdr:y>
    </cdr:from>
    <cdr:to>
      <cdr:x>0.96955</cdr:x>
      <cdr:y>0.13704</cdr:y>
    </cdr:to>
    <cdr:sp macro="" textlink="">
      <cdr:nvSpPr>
        <cdr:cNvPr id="263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412493" cy="3530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Y = aX2 + bX + c  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の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b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c 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を属性データのポンプ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P-Q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に入力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>
    <tabColor indexed="41"/>
    <pageSetUpPr fitToPage="1"/>
  </sheetPr>
  <dimension ref="A1:T109"/>
  <sheetViews>
    <sheetView tabSelected="1" zoomScaleNormal="100" workbookViewId="0">
      <selection activeCell="G12" sqref="G12"/>
    </sheetView>
  </sheetViews>
  <sheetFormatPr defaultColWidth="9" defaultRowHeight="13.5" customHeight="1" x14ac:dyDescent="0.2"/>
  <cols>
    <col min="1" max="2" width="2.3984375" style="184" customWidth="1"/>
    <col min="3" max="3" width="25.59765625" style="184" customWidth="1"/>
    <col min="4" max="4" width="13.09765625" style="184" customWidth="1"/>
    <col min="5" max="5" width="6.59765625" style="184" customWidth="1"/>
    <col min="6" max="6" width="25.59765625" style="184" customWidth="1"/>
    <col min="7" max="7" width="13.09765625" style="184" customWidth="1"/>
    <col min="8" max="8" width="5.59765625" style="184" customWidth="1"/>
    <col min="9" max="9" width="14.59765625" style="184" customWidth="1"/>
    <col min="10" max="11" width="10.59765625" style="184" customWidth="1"/>
    <col min="12" max="12" width="25.59765625" style="184" customWidth="1"/>
    <col min="13" max="13" width="10.59765625" style="184" customWidth="1"/>
    <col min="14" max="16384" width="9" style="184"/>
  </cols>
  <sheetData>
    <row r="1" spans="1:18" s="1" customFormat="1" ht="13.5" customHeight="1" x14ac:dyDescent="0.2">
      <c r="C1" s="190" t="s">
        <v>126</v>
      </c>
      <c r="E1" s="2"/>
      <c r="F1" s="2"/>
      <c r="G1" s="2"/>
      <c r="H1" s="2"/>
    </row>
    <row r="2" spans="1:18" s="1" customFormat="1" ht="13.5" customHeight="1" x14ac:dyDescent="0.2">
      <c r="E2" s="2"/>
      <c r="F2" s="2"/>
      <c r="G2" s="2"/>
      <c r="H2" s="2"/>
      <c r="M2" s="3"/>
    </row>
    <row r="3" spans="1:18" s="1" customFormat="1" ht="13.5" customHeight="1" x14ac:dyDescent="0.2">
      <c r="E3" s="2"/>
      <c r="F3" s="2"/>
      <c r="G3" s="2"/>
      <c r="H3" s="2"/>
      <c r="M3" s="3"/>
    </row>
    <row r="4" spans="1:18" s="1" customFormat="1" ht="13.5" customHeight="1" x14ac:dyDescent="0.2">
      <c r="E4" s="2"/>
      <c r="F4" s="2"/>
      <c r="G4" s="2"/>
      <c r="H4" s="2"/>
      <c r="M4" s="3"/>
    </row>
    <row r="5" spans="1:18" s="1" customFormat="1" ht="13.5" customHeight="1" x14ac:dyDescent="0.2">
      <c r="E5" s="2"/>
      <c r="F5" s="2"/>
      <c r="G5" s="2"/>
      <c r="H5" s="2"/>
      <c r="M5" s="3"/>
    </row>
    <row r="6" spans="1:18" s="1" customFormat="1" ht="13.5" customHeight="1" x14ac:dyDescent="0.2">
      <c r="E6" s="2"/>
      <c r="F6" s="2"/>
      <c r="G6" s="2"/>
      <c r="H6" s="2"/>
      <c r="M6" s="3"/>
    </row>
    <row r="7" spans="1:18" s="1" customFormat="1" ht="13.5" customHeight="1" x14ac:dyDescent="0.2">
      <c r="E7" s="2"/>
      <c r="F7" s="2"/>
      <c r="G7" s="2"/>
      <c r="H7" s="2"/>
      <c r="M7" s="3"/>
    </row>
    <row r="8" spans="1:18" s="1" customFormat="1" ht="13.5" customHeight="1" x14ac:dyDescent="0.2">
      <c r="E8" s="2"/>
      <c r="F8" s="2"/>
      <c r="G8" s="2"/>
      <c r="H8" s="2"/>
      <c r="M8" s="3"/>
      <c r="P8" s="4"/>
      <c r="Q8" s="4"/>
      <c r="R8" s="4"/>
    </row>
    <row r="9" spans="1:18" s="1" customFormat="1" ht="13.5" customHeight="1" x14ac:dyDescent="0.2">
      <c r="E9" s="2"/>
      <c r="F9" s="2"/>
      <c r="G9" s="2"/>
      <c r="H9" s="2"/>
      <c r="M9" s="3"/>
      <c r="P9" s="4"/>
      <c r="Q9" s="4"/>
      <c r="R9" s="4"/>
    </row>
    <row r="10" spans="1:18" s="1" customFormat="1" ht="13.5" customHeight="1" x14ac:dyDescent="0.2">
      <c r="E10" s="2"/>
      <c r="F10" s="2"/>
      <c r="G10" s="2"/>
      <c r="H10" s="2"/>
      <c r="M10" s="3"/>
      <c r="P10" s="4"/>
      <c r="Q10" s="4"/>
      <c r="R10" s="4"/>
    </row>
    <row r="11" spans="1:18" s="1" customFormat="1" ht="13.5" customHeight="1" thickBot="1" x14ac:dyDescent="0.25">
      <c r="G11" s="5"/>
      <c r="M11" s="3"/>
      <c r="P11" s="4"/>
      <c r="Q11" s="4"/>
      <c r="R11" s="4"/>
    </row>
    <row r="12" spans="1:18" s="1" customFormat="1" ht="13.5" customHeight="1" thickBot="1" x14ac:dyDescent="0.25">
      <c r="C12" s="6" t="s">
        <v>37</v>
      </c>
      <c r="D12" s="7"/>
      <c r="E12" s="8"/>
      <c r="F12" s="9" t="s">
        <v>125</v>
      </c>
      <c r="G12" s="10" t="s">
        <v>124</v>
      </c>
      <c r="H12" s="8"/>
      <c r="I12" s="11" t="s">
        <v>15</v>
      </c>
      <c r="K12" s="2"/>
      <c r="M12" s="3"/>
      <c r="R12" s="4"/>
    </row>
    <row r="13" spans="1:18" s="1" customFormat="1" ht="13.5" customHeight="1" thickTop="1" x14ac:dyDescent="0.2">
      <c r="A13" s="12"/>
      <c r="B13" s="12"/>
      <c r="C13" s="13" t="s">
        <v>33</v>
      </c>
      <c r="D13" s="14">
        <v>0</v>
      </c>
      <c r="E13" s="2"/>
      <c r="F13" s="15" t="s">
        <v>12</v>
      </c>
      <c r="G13" s="16">
        <f>+D13+IF(G39="error",1,0)</f>
        <v>0</v>
      </c>
      <c r="H13" s="2"/>
      <c r="I13" s="17" t="s">
        <v>10</v>
      </c>
      <c r="K13" s="2"/>
      <c r="M13" s="3"/>
      <c r="R13" s="4"/>
    </row>
    <row r="14" spans="1:18" s="1" customFormat="1" ht="13.5" customHeight="1" x14ac:dyDescent="0.2">
      <c r="A14" s="12"/>
      <c r="B14" s="12"/>
      <c r="C14" s="18" t="s">
        <v>70</v>
      </c>
      <c r="D14" s="19">
        <f>+G14</f>
        <v>1</v>
      </c>
      <c r="E14" s="2"/>
      <c r="F14" s="20" t="s">
        <v>13</v>
      </c>
      <c r="G14" s="21">
        <f>+I14</f>
        <v>1</v>
      </c>
      <c r="H14" s="2"/>
      <c r="I14" s="22">
        <v>1</v>
      </c>
      <c r="K14" s="23"/>
      <c r="L14" s="2"/>
      <c r="R14" s="4"/>
    </row>
    <row r="15" spans="1:18" s="1" customFormat="1" ht="13.5" customHeight="1" x14ac:dyDescent="0.2">
      <c r="A15" s="12"/>
      <c r="B15" s="12"/>
      <c r="C15" s="18" t="s">
        <v>71</v>
      </c>
      <c r="D15" s="19">
        <f>+G15</f>
        <v>1</v>
      </c>
      <c r="E15" s="2"/>
      <c r="F15" s="20" t="s">
        <v>14</v>
      </c>
      <c r="G15" s="21">
        <f>+I16</f>
        <v>1</v>
      </c>
      <c r="H15" s="2"/>
      <c r="I15" s="24" t="s">
        <v>16</v>
      </c>
      <c r="K15" s="25"/>
      <c r="L15" s="23"/>
      <c r="M15" s="3"/>
      <c r="N15" s="26"/>
      <c r="R15" s="4"/>
    </row>
    <row r="16" spans="1:18" s="1" customFormat="1" ht="13.5" customHeight="1" x14ac:dyDescent="0.2">
      <c r="A16" s="12"/>
      <c r="B16" s="12"/>
      <c r="C16" s="18" t="s">
        <v>72</v>
      </c>
      <c r="D16" s="27">
        <v>1</v>
      </c>
      <c r="E16" s="2"/>
      <c r="F16" s="20" t="s">
        <v>11</v>
      </c>
      <c r="G16" s="28">
        <f>D16</f>
        <v>1</v>
      </c>
      <c r="H16" s="23"/>
      <c r="I16" s="29">
        <v>1</v>
      </c>
      <c r="K16" s="30"/>
      <c r="L16" s="23"/>
      <c r="M16" s="3"/>
      <c r="N16" s="26"/>
      <c r="R16" s="4"/>
    </row>
    <row r="17" spans="1:20" s="1" customFormat="1" ht="13.5" customHeight="1" x14ac:dyDescent="0.2">
      <c r="A17" s="12"/>
      <c r="B17" s="12"/>
      <c r="C17" s="18" t="s">
        <v>73</v>
      </c>
      <c r="D17" s="31">
        <v>527</v>
      </c>
      <c r="E17" s="2"/>
      <c r="F17" s="20" t="s">
        <v>69</v>
      </c>
      <c r="G17" s="32">
        <f>+I20</f>
        <v>2000</v>
      </c>
      <c r="H17" s="2"/>
      <c r="I17" s="24" t="s">
        <v>11</v>
      </c>
      <c r="K17" s="2"/>
      <c r="L17" s="33"/>
      <c r="M17" s="3"/>
      <c r="N17" s="26"/>
      <c r="R17" s="4"/>
    </row>
    <row r="18" spans="1:20" s="1" customFormat="1" ht="13.5" customHeight="1" x14ac:dyDescent="0.2">
      <c r="A18" s="12"/>
      <c r="B18" s="12"/>
      <c r="C18" s="18" t="s">
        <v>74</v>
      </c>
      <c r="D18" s="34">
        <f>+G17</f>
        <v>2000</v>
      </c>
      <c r="E18" s="2"/>
      <c r="F18" s="20" t="s">
        <v>53</v>
      </c>
      <c r="G18" s="35">
        <f>D19</f>
        <v>7</v>
      </c>
      <c r="H18" s="2"/>
      <c r="I18" s="36">
        <f>G16</f>
        <v>1</v>
      </c>
      <c r="K18" s="23"/>
      <c r="L18" s="2"/>
      <c r="M18" s="3"/>
      <c r="R18" s="4"/>
      <c r="S18" s="3"/>
      <c r="T18" s="4"/>
    </row>
    <row r="19" spans="1:20" s="1" customFormat="1" ht="13.5" customHeight="1" x14ac:dyDescent="0.2">
      <c r="A19" s="37"/>
      <c r="B19" s="37"/>
      <c r="C19" s="18" t="s">
        <v>75</v>
      </c>
      <c r="D19" s="38">
        <v>7</v>
      </c>
      <c r="E19" s="2"/>
      <c r="F19" s="20" t="s">
        <v>54</v>
      </c>
      <c r="G19" s="39">
        <f>G37</f>
        <v>10.713408673186848</v>
      </c>
      <c r="H19" s="2"/>
      <c r="I19" s="17" t="s">
        <v>17</v>
      </c>
      <c r="K19" s="25"/>
      <c r="L19" s="25"/>
      <c r="M19" s="3"/>
      <c r="R19" s="4"/>
      <c r="S19" s="4"/>
      <c r="T19" s="4"/>
    </row>
    <row r="20" spans="1:20" s="1" customFormat="1" ht="13.5" customHeight="1" x14ac:dyDescent="0.2">
      <c r="A20" s="12"/>
      <c r="B20" s="12"/>
      <c r="C20" s="18" t="s">
        <v>76</v>
      </c>
      <c r="D20" s="40">
        <f>+G19</f>
        <v>10.713408673186848</v>
      </c>
      <c r="E20" s="2"/>
      <c r="F20" s="20" t="s">
        <v>56</v>
      </c>
      <c r="G20" s="41">
        <f>+G42</f>
        <v>2000</v>
      </c>
      <c r="H20" s="23"/>
      <c r="I20" s="42">
        <f>G42</f>
        <v>2000</v>
      </c>
      <c r="K20" s="23"/>
      <c r="L20" s="4"/>
      <c r="R20" s="4"/>
      <c r="S20" s="4"/>
      <c r="T20" s="4"/>
    </row>
    <row r="21" spans="1:20" s="1" customFormat="1" ht="13.5" customHeight="1" x14ac:dyDescent="0.2">
      <c r="A21" s="43"/>
      <c r="B21" s="43"/>
      <c r="C21" s="18" t="s">
        <v>77</v>
      </c>
      <c r="D21" s="34">
        <v>2500</v>
      </c>
      <c r="E21" s="2"/>
      <c r="F21" s="20" t="s">
        <v>57</v>
      </c>
      <c r="G21" s="41">
        <f>+IF(G26=0,G42,G48)</f>
        <v>725</v>
      </c>
      <c r="H21" s="23"/>
      <c r="I21" s="24" t="s">
        <v>34</v>
      </c>
      <c r="K21" s="2"/>
      <c r="L21" s="4"/>
      <c r="M21" s="3"/>
      <c r="R21" s="4"/>
      <c r="S21" s="4"/>
      <c r="T21" s="4"/>
    </row>
    <row r="22" spans="1:20" s="1" customFormat="1" ht="13.5" customHeight="1" x14ac:dyDescent="0.2">
      <c r="A22" s="12"/>
      <c r="B22" s="12"/>
      <c r="C22" s="18" t="s">
        <v>78</v>
      </c>
      <c r="D22" s="44">
        <v>26</v>
      </c>
      <c r="E22" s="2"/>
      <c r="F22" s="20" t="s">
        <v>59</v>
      </c>
      <c r="G22" s="45">
        <f>+D17</f>
        <v>527</v>
      </c>
      <c r="H22" s="23"/>
      <c r="I22" s="46">
        <f>+G18</f>
        <v>7</v>
      </c>
      <c r="K22" s="47"/>
      <c r="L22" s="23"/>
      <c r="M22" s="3"/>
      <c r="R22" s="4"/>
      <c r="S22" s="4"/>
      <c r="T22" s="4"/>
    </row>
    <row r="23" spans="1:20" s="1" customFormat="1" ht="13.5" customHeight="1" thickBot="1" x14ac:dyDescent="0.25">
      <c r="A23" s="48"/>
      <c r="B23" s="48"/>
      <c r="C23" s="18" t="s">
        <v>79</v>
      </c>
      <c r="D23" s="49">
        <v>31</v>
      </c>
      <c r="E23" s="2"/>
      <c r="F23" s="50" t="s">
        <v>55</v>
      </c>
      <c r="G23" s="51">
        <f>I24</f>
        <v>10.7</v>
      </c>
      <c r="H23" s="23"/>
      <c r="I23" s="24" t="s">
        <v>35</v>
      </c>
      <c r="K23" s="25"/>
      <c r="L23" s="2"/>
      <c r="M23" s="3"/>
      <c r="R23" s="4"/>
      <c r="S23" s="4"/>
      <c r="T23" s="4"/>
    </row>
    <row r="24" spans="1:20" s="1" customFormat="1" ht="13.5" customHeight="1" thickBot="1" x14ac:dyDescent="0.25">
      <c r="A24" s="52"/>
      <c r="B24" s="52"/>
      <c r="C24" s="53" t="s">
        <v>80</v>
      </c>
      <c r="D24" s="54">
        <v>1</v>
      </c>
      <c r="E24" s="2"/>
      <c r="F24" s="4"/>
      <c r="G24" s="55"/>
      <c r="H24" s="47"/>
      <c r="I24" s="56">
        <v>10.7</v>
      </c>
      <c r="K24" s="57"/>
      <c r="L24" s="2"/>
      <c r="M24" s="3"/>
      <c r="R24" s="4"/>
      <c r="S24" s="4"/>
      <c r="T24" s="4"/>
    </row>
    <row r="25" spans="1:20" s="1" customFormat="1" ht="13.5" customHeight="1" x14ac:dyDescent="0.2">
      <c r="E25" s="2"/>
      <c r="F25" s="58" t="s">
        <v>26</v>
      </c>
      <c r="G25" s="59"/>
      <c r="H25" s="2"/>
      <c r="I25" s="60" t="s">
        <v>18</v>
      </c>
      <c r="K25" s="23"/>
      <c r="L25" s="23"/>
      <c r="M25" s="3"/>
      <c r="R25" s="4"/>
      <c r="S25" s="4"/>
      <c r="T25" s="4"/>
    </row>
    <row r="26" spans="1:20" s="1" customFormat="1" ht="13.5" customHeight="1" thickBot="1" x14ac:dyDescent="0.25">
      <c r="E26" s="2"/>
      <c r="F26" s="61" t="s">
        <v>38</v>
      </c>
      <c r="G26" s="62">
        <v>2</v>
      </c>
      <c r="H26" s="2"/>
      <c r="I26" s="63">
        <f>+G20</f>
        <v>2000</v>
      </c>
      <c r="K26" s="23"/>
      <c r="L26" s="2"/>
      <c r="M26" s="3"/>
      <c r="P26" s="4"/>
      <c r="Q26" s="4"/>
      <c r="R26" s="4"/>
      <c r="S26" s="4"/>
      <c r="T26" s="4"/>
    </row>
    <row r="27" spans="1:20" s="1" customFormat="1" ht="13.5" customHeight="1" thickBot="1" x14ac:dyDescent="0.25">
      <c r="E27" s="2"/>
      <c r="F27" s="4"/>
      <c r="G27" s="55"/>
      <c r="H27" s="4"/>
      <c r="I27" s="60" t="s">
        <v>1</v>
      </c>
      <c r="K27" s="23"/>
      <c r="L27" s="2"/>
      <c r="S27" s="4"/>
      <c r="T27" s="4"/>
    </row>
    <row r="28" spans="1:20" s="1" customFormat="1" ht="13.5" customHeight="1" x14ac:dyDescent="0.2">
      <c r="E28" s="2"/>
      <c r="F28" s="64" t="s">
        <v>90</v>
      </c>
      <c r="G28" s="65">
        <f>+(-G58-(G58^2-4*(G57-G46)*(G59-G47))^0.5)/2/(G57-G46)</f>
        <v>3.3370359178348526E-2</v>
      </c>
      <c r="H28" s="4"/>
      <c r="I28" s="63">
        <f>+G21</f>
        <v>725</v>
      </c>
      <c r="K28" s="23"/>
      <c r="L28" s="23"/>
      <c r="S28" s="66"/>
      <c r="T28" s="4"/>
    </row>
    <row r="29" spans="1:20" s="1" customFormat="1" ht="13.5" customHeight="1" x14ac:dyDescent="0.2">
      <c r="E29" s="2"/>
      <c r="F29" s="67" t="s">
        <v>91</v>
      </c>
      <c r="G29" s="68">
        <f>+G46*G28^2+G47</f>
        <v>294.65349864970045</v>
      </c>
      <c r="H29" s="4"/>
      <c r="I29" s="24" t="s">
        <v>19</v>
      </c>
      <c r="K29" s="2"/>
      <c r="L29" s="23"/>
      <c r="S29" s="4"/>
      <c r="T29" s="4"/>
    </row>
    <row r="30" spans="1:20" s="1" customFormat="1" ht="13.5" customHeight="1" x14ac:dyDescent="0.2">
      <c r="E30" s="2"/>
      <c r="F30" s="67" t="s">
        <v>92</v>
      </c>
      <c r="G30" s="68">
        <f>+IF(G26=0,G43,IF(G26=1,G43,IF(G26=2,G46*(G17/60/1000)^2+G47,99999)))</f>
        <v>294</v>
      </c>
      <c r="H30" s="4"/>
      <c r="I30" s="63">
        <f>+G22</f>
        <v>527</v>
      </c>
      <c r="K30" s="23"/>
      <c r="L30" s="23"/>
      <c r="M30" s="3"/>
      <c r="S30" s="66"/>
      <c r="T30" s="4"/>
    </row>
    <row r="31" spans="1:20" s="1" customFormat="1" ht="13.5" customHeight="1" x14ac:dyDescent="0.2">
      <c r="E31" s="2"/>
      <c r="F31" s="69" t="s">
        <v>93</v>
      </c>
      <c r="G31" s="68">
        <f>+IF(G26=0,G49,IF(OR(G26=1,G26=2),( -G58*G17/60/1000+ ( (G58*G17/60/1000)^2-4*G59* (G57*(G17/60/1000)^2-G30) )^0.5)  /2/G59 *G49,99999))</f>
        <v>49.944522855122244</v>
      </c>
      <c r="H31" s="4"/>
      <c r="I31" s="70" t="s">
        <v>33</v>
      </c>
      <c r="K31" s="25"/>
      <c r="L31" s="23"/>
      <c r="S31" s="4"/>
      <c r="T31" s="4"/>
    </row>
    <row r="32" spans="1:20" s="1" customFormat="1" ht="13.5" customHeight="1" thickBot="1" x14ac:dyDescent="0.25">
      <c r="E32" s="2"/>
      <c r="F32" s="67" t="s">
        <v>94</v>
      </c>
      <c r="G32" s="71">
        <f>+IF(G14=0,0,IF(G31&lt;G51,G51,IF(G31&gt;G50,99999,G31)))</f>
        <v>49.944522855122244</v>
      </c>
      <c r="H32" s="4"/>
      <c r="I32" s="72">
        <f>G13</f>
        <v>0</v>
      </c>
      <c r="K32" s="4"/>
      <c r="L32" s="23"/>
      <c r="S32" s="66"/>
      <c r="T32" s="4"/>
    </row>
    <row r="33" spans="3:20" s="1" customFormat="1" ht="13.5" customHeight="1" x14ac:dyDescent="0.2">
      <c r="E33" s="2"/>
      <c r="F33" s="67" t="s">
        <v>95</v>
      </c>
      <c r="G33" s="71">
        <f>+IF(G14=0,0,IF(G26=0,G57*(G17/60/1000)^2+G58*G17/60/1000+G59,IF(G26=1,IF(G31&gt;=G32,G43,G57*(G17/60/1000)^2+G32/G49*G58*G17/60/1000+(G32/G49)^2*G59),IF(G31&gt;=G32,G30,G57*(G17/60/1000)^2+G32/G49*G58*G17/60/1000+(G32/G49)^2*G59))))</f>
        <v>294</v>
      </c>
      <c r="H33" s="4"/>
      <c r="K33" s="2"/>
      <c r="L33" s="47"/>
      <c r="S33" s="4"/>
      <c r="T33" s="4"/>
    </row>
    <row r="34" spans="3:20" s="1" customFormat="1" ht="13.5" customHeight="1" x14ac:dyDescent="0.2">
      <c r="E34" s="2"/>
      <c r="F34" s="73" t="s">
        <v>121</v>
      </c>
      <c r="G34" s="74">
        <f>(G17/G42)/(G32/G49)</f>
        <v>1.001110775350456</v>
      </c>
      <c r="H34" s="4"/>
      <c r="K34" s="2"/>
      <c r="L34" s="47"/>
      <c r="S34" s="4"/>
      <c r="T34" s="4"/>
    </row>
    <row r="35" spans="3:20" s="1" customFormat="1" ht="13.5" customHeight="1" x14ac:dyDescent="0.2">
      <c r="E35" s="2"/>
      <c r="F35" s="75" t="s">
        <v>122</v>
      </c>
      <c r="G35" s="76">
        <f>IF(G14=0,G53*(G42/60/1000)^3+G54*(G42/60/1000)^2+G55*G42/60/1000+G56,G53*(G42/60/1000*G34)^3+G54*(G42/60/1000*G34)^2+G55*G42/60/1000*G34+G56)</f>
        <v>0.74424185109354524</v>
      </c>
      <c r="H35" s="4"/>
      <c r="K35" s="2"/>
      <c r="L35" s="47"/>
      <c r="S35" s="4"/>
      <c r="T35" s="4"/>
    </row>
    <row r="36" spans="3:20" s="1" customFormat="1" ht="13.5" customHeight="1" x14ac:dyDescent="0.2">
      <c r="E36" s="2"/>
      <c r="F36" s="67" t="s">
        <v>96</v>
      </c>
      <c r="G36" s="77">
        <f>IF(G14=0,0,+G60*(G17*G33/60000/G35/G52)+G61)</f>
        <v>14.63084731514278</v>
      </c>
      <c r="H36" s="4"/>
      <c r="K36" s="2"/>
      <c r="L36" s="2"/>
      <c r="M36" s="3"/>
      <c r="S36" s="66"/>
      <c r="T36" s="4"/>
    </row>
    <row r="37" spans="3:20" s="1" customFormat="1" ht="13.5" customHeight="1" thickBot="1" x14ac:dyDescent="0.25">
      <c r="E37" s="2"/>
      <c r="F37" s="78" t="s">
        <v>86</v>
      </c>
      <c r="G37" s="79">
        <f>IF(OR(G14=0,G15=0),G23,G23+G45)</f>
        <v>10.713408673186848</v>
      </c>
      <c r="H37" s="4"/>
      <c r="K37" s="2"/>
      <c r="L37" s="2"/>
      <c r="S37" s="66"/>
      <c r="T37" s="4"/>
    </row>
    <row r="38" spans="3:20" s="1" customFormat="1" ht="13.5" customHeight="1" x14ac:dyDescent="0.2">
      <c r="E38" s="2"/>
      <c r="F38" s="80" t="s">
        <v>39</v>
      </c>
      <c r="G38" s="81">
        <f>IF($C$4=1,0,+IF(G14=0,0,IF((G30-G33)&gt;0.01,20,0)+IF(G30=99999,10,0)+IF(G32=99999,2,0)))</f>
        <v>0</v>
      </c>
      <c r="H38" s="4"/>
      <c r="K38" s="2"/>
      <c r="L38" s="2"/>
      <c r="S38" s="66"/>
      <c r="T38" s="4"/>
    </row>
    <row r="39" spans="3:20" s="1" customFormat="1" ht="13.5" customHeight="1" thickBot="1" x14ac:dyDescent="0.25">
      <c r="E39" s="2"/>
      <c r="F39" s="82" t="s">
        <v>36</v>
      </c>
      <c r="G39" s="83" t="str">
        <f>IF(ISERR(FIND(2,G38))=TRUE,IF(ISERR(FIND(1,G38))=TRUE,"good","warrning"),"error")</f>
        <v>good</v>
      </c>
      <c r="H39" s="4"/>
      <c r="K39" s="2"/>
      <c r="L39" s="2"/>
      <c r="S39" s="66"/>
      <c r="T39" s="4"/>
    </row>
    <row r="40" spans="3:20" s="1" customFormat="1" ht="13.5" customHeight="1" thickBot="1" x14ac:dyDescent="0.25">
      <c r="E40" s="2"/>
      <c r="F40" s="4"/>
      <c r="G40" s="55"/>
      <c r="H40" s="4"/>
      <c r="K40" s="2"/>
      <c r="L40" s="4"/>
      <c r="S40" s="66"/>
      <c r="T40" s="4"/>
    </row>
    <row r="41" spans="3:20" s="1" customFormat="1" ht="13.5" customHeight="1" x14ac:dyDescent="0.2">
      <c r="E41" s="2"/>
      <c r="F41" s="58" t="s">
        <v>31</v>
      </c>
      <c r="G41" s="59"/>
      <c r="H41" s="2"/>
      <c r="K41" s="2"/>
      <c r="L41" s="4"/>
      <c r="M41" s="4"/>
      <c r="N41" s="4"/>
      <c r="O41" s="4"/>
      <c r="P41" s="4"/>
      <c r="Q41" s="4"/>
      <c r="R41" s="4"/>
      <c r="S41" s="4"/>
      <c r="T41" s="4"/>
    </row>
    <row r="42" spans="3:20" s="1" customFormat="1" ht="13.5" customHeight="1" x14ac:dyDescent="0.2">
      <c r="C42" s="4"/>
      <c r="D42" s="4"/>
      <c r="E42" s="2"/>
      <c r="F42" s="84" t="s">
        <v>97</v>
      </c>
      <c r="G42" s="85">
        <v>2000</v>
      </c>
      <c r="H42" s="4"/>
      <c r="K42" s="2"/>
      <c r="L42" s="4"/>
      <c r="M42" s="3"/>
      <c r="N42" s="4"/>
      <c r="O42" s="4"/>
      <c r="P42" s="4"/>
      <c r="Q42" s="4"/>
      <c r="R42" s="4"/>
      <c r="S42" s="4"/>
      <c r="T42" s="4"/>
    </row>
    <row r="43" spans="3:20" s="1" customFormat="1" ht="13.5" customHeight="1" x14ac:dyDescent="0.2">
      <c r="C43" s="4"/>
      <c r="D43" s="4"/>
      <c r="E43" s="2"/>
      <c r="F43" s="84" t="s">
        <v>98</v>
      </c>
      <c r="G43" s="85">
        <v>294</v>
      </c>
      <c r="H43" s="4"/>
      <c r="K43" s="86"/>
      <c r="L43" s="4"/>
      <c r="M43" s="3"/>
      <c r="N43" s="4"/>
      <c r="O43" s="4"/>
      <c r="P43" s="4"/>
      <c r="Q43" s="4"/>
      <c r="R43" s="4"/>
      <c r="S43" s="4"/>
      <c r="T43" s="4"/>
    </row>
    <row r="44" spans="3:20" s="1" customFormat="1" ht="13.5" customHeight="1" x14ac:dyDescent="0.2">
      <c r="C44" s="4"/>
      <c r="D44" s="4"/>
      <c r="E44" s="2"/>
      <c r="F44" s="87" t="s">
        <v>60</v>
      </c>
      <c r="G44" s="85">
        <v>0</v>
      </c>
      <c r="H44" s="4"/>
      <c r="K44" s="86"/>
      <c r="N44" s="4"/>
      <c r="O44" s="4"/>
      <c r="P44" s="4"/>
      <c r="Q44" s="4"/>
      <c r="R44" s="4"/>
      <c r="S44" s="4"/>
      <c r="T44" s="4"/>
    </row>
    <row r="45" spans="3:20" s="1" customFormat="1" ht="13.5" customHeight="1" x14ac:dyDescent="0.2">
      <c r="C45" s="86"/>
      <c r="D45" s="4"/>
      <c r="E45" s="2"/>
      <c r="F45" s="87" t="s">
        <v>61</v>
      </c>
      <c r="G45" s="88">
        <f>(1-G35)*G36/2/(G17/60*4.18605)</f>
        <v>1.3408673186848788E-2</v>
      </c>
      <c r="H45" s="4"/>
      <c r="K45" s="4"/>
      <c r="N45" s="4"/>
      <c r="O45" s="4"/>
      <c r="P45" s="4"/>
      <c r="Q45" s="4"/>
      <c r="R45" s="4"/>
      <c r="S45" s="4"/>
      <c r="T45" s="4"/>
    </row>
    <row r="46" spans="3:20" s="1" customFormat="1" ht="13.5" customHeight="1" x14ac:dyDescent="0.2">
      <c r="C46" s="86"/>
      <c r="D46" s="4"/>
      <c r="E46" s="2"/>
      <c r="F46" s="87" t="s">
        <v>29</v>
      </c>
      <c r="G46" s="89">
        <f>(G43-G44)/(G42/60/1000)^2</f>
        <v>264600</v>
      </c>
      <c r="H46" s="2"/>
      <c r="K46" s="4"/>
      <c r="N46" s="4"/>
      <c r="O46" s="4"/>
      <c r="P46" s="4"/>
      <c r="Q46" s="4"/>
      <c r="R46" s="4"/>
      <c r="S46" s="4"/>
      <c r="T46" s="4"/>
    </row>
    <row r="47" spans="3:20" s="1" customFormat="1" ht="13.5" customHeight="1" x14ac:dyDescent="0.2">
      <c r="C47" s="4"/>
      <c r="D47" s="4"/>
      <c r="E47" s="2"/>
      <c r="F47" s="87" t="s">
        <v>87</v>
      </c>
      <c r="G47" s="89">
        <f>G44</f>
        <v>0</v>
      </c>
      <c r="H47" s="2"/>
      <c r="K47" s="4"/>
      <c r="N47" s="4"/>
      <c r="O47" s="4"/>
      <c r="P47" s="4"/>
      <c r="Q47" s="4"/>
      <c r="R47" s="4"/>
      <c r="S47" s="4"/>
      <c r="T47" s="4"/>
    </row>
    <row r="48" spans="3:20" s="1" customFormat="1" ht="13.5" customHeight="1" x14ac:dyDescent="0.2">
      <c r="C48" s="4"/>
      <c r="D48" s="4"/>
      <c r="E48" s="2"/>
      <c r="F48" s="87" t="s">
        <v>117</v>
      </c>
      <c r="G48" s="85">
        <v>725</v>
      </c>
      <c r="H48" s="2"/>
      <c r="K48" s="4"/>
      <c r="N48" s="4"/>
      <c r="O48" s="4"/>
      <c r="P48" s="4"/>
      <c r="Q48" s="4"/>
      <c r="R48" s="4"/>
      <c r="S48" s="4"/>
      <c r="T48" s="4"/>
    </row>
    <row r="49" spans="3:13" s="1" customFormat="1" ht="13.5" customHeight="1" x14ac:dyDescent="0.2">
      <c r="C49" s="4"/>
      <c r="D49" s="4"/>
      <c r="E49" s="2"/>
      <c r="F49" s="84" t="s">
        <v>99</v>
      </c>
      <c r="G49" s="90">
        <v>50</v>
      </c>
      <c r="H49" s="2"/>
      <c r="K49" s="4"/>
      <c r="L49" s="1" t="s">
        <v>102</v>
      </c>
      <c r="M49" s="4"/>
    </row>
    <row r="50" spans="3:13" s="1" customFormat="1" ht="13.5" customHeight="1" x14ac:dyDescent="0.2">
      <c r="C50" s="4"/>
      <c r="D50" s="4"/>
      <c r="E50" s="2"/>
      <c r="F50" s="84" t="s">
        <v>100</v>
      </c>
      <c r="G50" s="90">
        <v>60</v>
      </c>
      <c r="H50" s="2"/>
      <c r="K50" s="86"/>
      <c r="L50" s="1" t="s">
        <v>103</v>
      </c>
      <c r="M50" s="4"/>
    </row>
    <row r="51" spans="3:13" s="1" customFormat="1" ht="13.5" customHeight="1" x14ac:dyDescent="0.2">
      <c r="C51" s="4"/>
      <c r="D51" s="4"/>
      <c r="E51" s="2"/>
      <c r="F51" s="84" t="s">
        <v>101</v>
      </c>
      <c r="G51" s="90">
        <v>25</v>
      </c>
      <c r="H51" s="2"/>
      <c r="K51" s="86"/>
      <c r="L51" s="91" t="str">
        <f>IF(ISERROR(SUM(G53:G59)),"※正しくコピーアンドペースト出来ていません。",IF(SUM(G53:G59)&lt;&gt;SUM(M53:M59),"※オブジェクト属性部が作成した属性部と違います。値をコピーアンドペーストしてください。",
"※現在はオブジェクト属性部へ正しくコピーされています。"))</f>
        <v>※現在はオブジェクト属性部へ正しくコピーされています。</v>
      </c>
      <c r="M51" s="4"/>
    </row>
    <row r="52" spans="3:13" s="1" customFormat="1" ht="13.5" customHeight="1" thickBot="1" x14ac:dyDescent="0.25">
      <c r="C52" s="86"/>
      <c r="D52" s="92"/>
      <c r="E52" s="2"/>
      <c r="F52" s="84" t="s">
        <v>108</v>
      </c>
      <c r="G52" s="93">
        <v>0.9</v>
      </c>
      <c r="H52" s="2"/>
      <c r="K52" s="86"/>
      <c r="L52" s="94"/>
      <c r="M52" s="95"/>
    </row>
    <row r="53" spans="3:13" s="1" customFormat="1" ht="13.5" customHeight="1" x14ac:dyDescent="0.2">
      <c r="C53" s="86"/>
      <c r="D53" s="92"/>
      <c r="E53" s="2"/>
      <c r="F53" s="84" t="s">
        <v>123</v>
      </c>
      <c r="G53" s="96">
        <v>11851.47169811319</v>
      </c>
      <c r="H53" s="2"/>
      <c r="K53" s="86"/>
      <c r="L53" s="97" t="s">
        <v>123</v>
      </c>
      <c r="M53" s="98">
        <f>INDEX(LINEST(C69:C73,H69:H73^{1,2,3}),1)</f>
        <v>11851.47169811319</v>
      </c>
    </row>
    <row r="54" spans="3:13" s="1" customFormat="1" ht="13.5" customHeight="1" x14ac:dyDescent="0.2">
      <c r="C54" s="86"/>
      <c r="D54" s="92"/>
      <c r="E54" s="2"/>
      <c r="F54" s="84" t="s">
        <v>111</v>
      </c>
      <c r="G54" s="96">
        <v>-1425.0371967654974</v>
      </c>
      <c r="H54" s="2"/>
      <c r="K54" s="86"/>
      <c r="L54" s="84" t="s">
        <v>111</v>
      </c>
      <c r="M54" s="99">
        <f>INDEX(LINEST(C69:C73,H69:H73^{1,2,3}),2)</f>
        <v>-1425.0371967654974</v>
      </c>
    </row>
    <row r="55" spans="3:13" s="1" customFormat="1" ht="13.5" customHeight="1" x14ac:dyDescent="0.2">
      <c r="C55" s="86"/>
      <c r="D55" s="92"/>
      <c r="E55" s="2"/>
      <c r="F55" s="84" t="s">
        <v>109</v>
      </c>
      <c r="G55" s="96">
        <v>56.651320754716942</v>
      </c>
      <c r="H55" s="2"/>
      <c r="K55" s="86"/>
      <c r="L55" s="84" t="s">
        <v>109</v>
      </c>
      <c r="M55" s="100">
        <f>INDEX(LINEST(C69:C73,H69:H73^{1,2,3}),3)</f>
        <v>56.651320754716942</v>
      </c>
    </row>
    <row r="56" spans="3:13" s="1" customFormat="1" ht="13.5" customHeight="1" x14ac:dyDescent="0.2">
      <c r="C56" s="86"/>
      <c r="D56" s="92"/>
      <c r="E56" s="2"/>
      <c r="F56" s="84" t="s">
        <v>110</v>
      </c>
      <c r="G56" s="96">
        <v>2.5336927223762462E-4</v>
      </c>
      <c r="H56" s="2"/>
      <c r="K56" s="86"/>
      <c r="L56" s="84" t="s">
        <v>110</v>
      </c>
      <c r="M56" s="100">
        <f>INDEX(LINEST(C69:C73,H69:H73^{1,2,3}),4)</f>
        <v>2.5336927223762462E-4</v>
      </c>
    </row>
    <row r="57" spans="3:13" s="1" customFormat="1" ht="13.5" customHeight="1" x14ac:dyDescent="0.2">
      <c r="C57" s="86"/>
      <c r="D57" s="92"/>
      <c r="E57" s="2"/>
      <c r="F57" s="87" t="s">
        <v>112</v>
      </c>
      <c r="G57" s="85">
        <v>-62402.474226804188</v>
      </c>
      <c r="H57" s="2"/>
      <c r="K57" s="4"/>
      <c r="L57" s="84" t="s">
        <v>112</v>
      </c>
      <c r="M57" s="99">
        <f>INDEX(LINEST(I69:I73,H69:H73^{1,2}),1)</f>
        <v>-62402.474226804188</v>
      </c>
    </row>
    <row r="58" spans="3:13" s="1" customFormat="1" ht="13.5" customHeight="1" x14ac:dyDescent="0.2">
      <c r="C58" s="86"/>
      <c r="D58" s="4"/>
      <c r="E58" s="86"/>
      <c r="F58" s="87" t="s">
        <v>113</v>
      </c>
      <c r="G58" s="85">
        <v>372.80412371134281</v>
      </c>
      <c r="H58" s="2"/>
      <c r="K58" s="4"/>
      <c r="L58" s="84" t="s">
        <v>113</v>
      </c>
      <c r="M58" s="99">
        <f>INDEX(LINEST(I69:I73,H69:H73^{1,2}),2)</f>
        <v>372.80412371134281</v>
      </c>
    </row>
    <row r="59" spans="3:13" s="1" customFormat="1" ht="13.5" customHeight="1" thickBot="1" x14ac:dyDescent="0.25">
      <c r="C59" s="4"/>
      <c r="D59" s="4"/>
      <c r="E59" s="86"/>
      <c r="F59" s="87" t="s">
        <v>114</v>
      </c>
      <c r="G59" s="85">
        <v>351.70309278350516</v>
      </c>
      <c r="H59" s="2"/>
      <c r="L59" s="101" t="s">
        <v>114</v>
      </c>
      <c r="M59" s="102">
        <f>INDEX(LINEST(I69:I73,H69:H73^{1,2}),3)</f>
        <v>351.70309278350516</v>
      </c>
    </row>
    <row r="60" spans="3:13" s="1" customFormat="1" ht="13.5" customHeight="1" x14ac:dyDescent="0.2">
      <c r="C60" s="4"/>
      <c r="D60" s="4"/>
      <c r="E60" s="86"/>
      <c r="F60" s="87" t="s">
        <v>88</v>
      </c>
      <c r="G60" s="103">
        <v>1</v>
      </c>
    </row>
    <row r="61" spans="3:13" s="1" customFormat="1" ht="13.5" customHeight="1" thickBot="1" x14ac:dyDescent="0.25">
      <c r="E61" s="86"/>
      <c r="F61" s="61" t="s">
        <v>89</v>
      </c>
      <c r="G61" s="104">
        <v>0</v>
      </c>
    </row>
    <row r="62" spans="3:13" s="1" customFormat="1" ht="13.5" customHeight="1" x14ac:dyDescent="0.2">
      <c r="E62" s="86"/>
      <c r="F62" s="4"/>
      <c r="G62" s="4"/>
    </row>
    <row r="63" spans="3:13" s="1" customFormat="1" ht="13.5" customHeight="1" x14ac:dyDescent="0.2">
      <c r="D63" s="4"/>
      <c r="E63" s="86"/>
      <c r="F63" s="4"/>
      <c r="G63" s="2"/>
      <c r="H63" s="2"/>
      <c r="I63" s="2"/>
      <c r="J63" s="105"/>
    </row>
    <row r="64" spans="3:13" s="1" customFormat="1" ht="13.5" customHeight="1" x14ac:dyDescent="0.2">
      <c r="D64" s="4"/>
      <c r="E64" s="86"/>
      <c r="F64" s="4"/>
      <c r="G64" s="2"/>
      <c r="H64" s="2"/>
      <c r="I64" s="2"/>
      <c r="J64" s="105"/>
    </row>
    <row r="65" spans="1:17" s="1" customFormat="1" ht="13.5" customHeight="1" thickBot="1" x14ac:dyDescent="0.25">
      <c r="D65" s="1" t="s">
        <v>25</v>
      </c>
      <c r="G65" s="2"/>
      <c r="I65" s="106" t="s">
        <v>9</v>
      </c>
    </row>
    <row r="66" spans="1:17" s="1" customFormat="1" ht="13.5" customHeight="1" x14ac:dyDescent="0.2">
      <c r="D66" s="107" t="s">
        <v>2</v>
      </c>
      <c r="E66" s="108" t="s">
        <v>62</v>
      </c>
      <c r="F66" s="109" t="s">
        <v>119</v>
      </c>
      <c r="G66" s="108" t="s">
        <v>63</v>
      </c>
      <c r="H66" s="109" t="s">
        <v>118</v>
      </c>
      <c r="I66" s="110" t="s">
        <v>64</v>
      </c>
      <c r="J66" s="107" t="s">
        <v>22</v>
      </c>
      <c r="K66" s="111" t="s">
        <v>23</v>
      </c>
      <c r="L66" s="112" t="s">
        <v>3</v>
      </c>
    </row>
    <row r="67" spans="1:17" s="1" customFormat="1" ht="13.5" customHeight="1" thickBot="1" x14ac:dyDescent="0.25">
      <c r="A67" s="4"/>
      <c r="B67" s="4"/>
      <c r="D67" s="113" t="s">
        <v>4</v>
      </c>
      <c r="E67" s="114">
        <f>G44</f>
        <v>0</v>
      </c>
      <c r="F67" s="115">
        <f>+G42</f>
        <v>2000</v>
      </c>
      <c r="G67" s="116">
        <f>G43-G44</f>
        <v>294</v>
      </c>
      <c r="H67" s="117">
        <f>+F67/60/1000</f>
        <v>3.3333333333333333E-2</v>
      </c>
      <c r="I67" s="118">
        <f>E67+G67</f>
        <v>294</v>
      </c>
      <c r="J67" s="119">
        <f>+G67/H67^2</f>
        <v>264600</v>
      </c>
      <c r="K67" s="117">
        <f>+E67</f>
        <v>0</v>
      </c>
      <c r="L67" s="120" t="s">
        <v>24</v>
      </c>
      <c r="N67" s="4"/>
      <c r="O67" s="4"/>
      <c r="P67" s="4"/>
      <c r="Q67" s="4"/>
    </row>
    <row r="68" spans="1:17" s="1" customFormat="1" ht="13.5" customHeight="1" thickBot="1" x14ac:dyDescent="0.25">
      <c r="A68" s="3"/>
      <c r="B68" s="3"/>
      <c r="C68" s="121" t="s">
        <v>0</v>
      </c>
      <c r="D68" s="122" t="s">
        <v>5</v>
      </c>
      <c r="E68" s="123" t="s">
        <v>6</v>
      </c>
      <c r="F68" s="123" t="s">
        <v>116</v>
      </c>
      <c r="G68" s="124" t="s">
        <v>104</v>
      </c>
      <c r="H68" s="125" t="s">
        <v>115</v>
      </c>
      <c r="I68" s="112" t="s">
        <v>105</v>
      </c>
      <c r="J68" s="105"/>
      <c r="N68" s="3"/>
      <c r="O68" s="3"/>
      <c r="P68" s="3"/>
      <c r="Q68" s="3"/>
    </row>
    <row r="69" spans="1:17" s="1" customFormat="1" ht="13.5" customHeight="1" x14ac:dyDescent="0.2">
      <c r="C69" s="126">
        <v>0</v>
      </c>
      <c r="D69" s="127" t="s">
        <v>7</v>
      </c>
      <c r="E69" s="128" t="s">
        <v>106</v>
      </c>
      <c r="F69" s="129">
        <v>0</v>
      </c>
      <c r="G69" s="130">
        <v>35.9</v>
      </c>
      <c r="H69" s="131">
        <f>+F69/60/1000</f>
        <v>0</v>
      </c>
      <c r="I69" s="132">
        <f>G69*9.8</f>
        <v>351.82</v>
      </c>
      <c r="J69" s="133" t="s">
        <v>8</v>
      </c>
      <c r="K69" s="2"/>
      <c r="M69" s="4"/>
    </row>
    <row r="70" spans="1:17" s="1" customFormat="1" ht="13.5" customHeight="1" x14ac:dyDescent="0.2">
      <c r="C70" s="126">
        <v>0.60599999999999998</v>
      </c>
      <c r="D70" s="134"/>
      <c r="E70" s="128">
        <v>2</v>
      </c>
      <c r="F70" s="129">
        <v>1000</v>
      </c>
      <c r="G70" s="130">
        <v>34.700000000000003</v>
      </c>
      <c r="H70" s="131">
        <f t="shared" ref="H70:H73" si="0">+F70/60/1000</f>
        <v>1.6666666666666666E-2</v>
      </c>
      <c r="I70" s="132">
        <f>G70*9.8</f>
        <v>340.06000000000006</v>
      </c>
      <c r="J70" s="135"/>
      <c r="K70" s="2"/>
      <c r="M70" s="3"/>
    </row>
    <row r="71" spans="1:17" s="1" customFormat="1" ht="13.5" customHeight="1" x14ac:dyDescent="0.2">
      <c r="C71" s="126">
        <v>0.70599999999999996</v>
      </c>
      <c r="D71" s="134"/>
      <c r="E71" s="128">
        <v>3</v>
      </c>
      <c r="F71" s="129">
        <v>1500</v>
      </c>
      <c r="G71" s="130">
        <v>32.9</v>
      </c>
      <c r="H71" s="131">
        <f t="shared" si="0"/>
        <v>2.5000000000000001E-2</v>
      </c>
      <c r="I71" s="132">
        <f>G71*9.8</f>
        <v>322.42</v>
      </c>
      <c r="J71" s="135"/>
      <c r="K71" s="2"/>
    </row>
    <row r="72" spans="1:17" s="1" customFormat="1" ht="13.5" customHeight="1" x14ac:dyDescent="0.2">
      <c r="C72" s="126">
        <v>0.748</v>
      </c>
      <c r="D72" s="134"/>
      <c r="E72" s="128">
        <v>4</v>
      </c>
      <c r="F72" s="129">
        <v>2000</v>
      </c>
      <c r="G72" s="130">
        <v>30.1</v>
      </c>
      <c r="H72" s="131">
        <f t="shared" si="0"/>
        <v>3.3333333333333333E-2</v>
      </c>
      <c r="I72" s="132">
        <f>G72*9.8</f>
        <v>294.98</v>
      </c>
      <c r="J72" s="135"/>
      <c r="K72" s="2"/>
    </row>
    <row r="73" spans="1:17" s="1" customFormat="1" ht="13.5" customHeight="1" thickBot="1" x14ac:dyDescent="0.25">
      <c r="C73" s="136">
        <v>0.74299999999999999</v>
      </c>
      <c r="D73" s="137"/>
      <c r="E73" s="138" t="s">
        <v>107</v>
      </c>
      <c r="F73" s="139">
        <v>2500</v>
      </c>
      <c r="G73" s="140">
        <v>26.400000000000002</v>
      </c>
      <c r="H73" s="141">
        <f t="shared" si="0"/>
        <v>4.1666666666666664E-2</v>
      </c>
      <c r="I73" s="142">
        <f>G73*9.8</f>
        <v>258.72000000000003</v>
      </c>
      <c r="J73" s="135"/>
      <c r="K73" s="2"/>
    </row>
    <row r="74" spans="1:17" s="1" customFormat="1" ht="13.5" customHeight="1" thickBot="1" x14ac:dyDescent="0.25">
      <c r="D74" s="143" t="s">
        <v>28</v>
      </c>
      <c r="E74" s="144"/>
      <c r="F74" s="144"/>
      <c r="G74" s="145"/>
      <c r="H74" s="146" t="s">
        <v>66</v>
      </c>
      <c r="I74" s="112" t="s">
        <v>65</v>
      </c>
      <c r="J74" s="105"/>
      <c r="K74" s="2"/>
    </row>
    <row r="75" spans="1:17" s="1" customFormat="1" ht="13.5" customHeight="1" x14ac:dyDescent="0.2">
      <c r="D75" s="147"/>
      <c r="E75" s="148"/>
      <c r="F75" s="148"/>
      <c r="G75" s="149"/>
      <c r="H75" s="150">
        <v>0</v>
      </c>
      <c r="I75" s="151">
        <f>+J67*H75^2+K67</f>
        <v>0</v>
      </c>
    </row>
    <row r="76" spans="1:17" s="1" customFormat="1" ht="13.5" customHeight="1" x14ac:dyDescent="0.2">
      <c r="D76" s="152"/>
      <c r="E76" s="153"/>
      <c r="F76" s="154"/>
      <c r="G76" s="155"/>
      <c r="H76" s="156">
        <f>+H69/5</f>
        <v>0</v>
      </c>
      <c r="I76" s="157">
        <f>+J67*H76^2+K67</f>
        <v>0</v>
      </c>
    </row>
    <row r="77" spans="1:17" s="1" customFormat="1" ht="13.5" customHeight="1" x14ac:dyDescent="0.2">
      <c r="D77" s="152"/>
      <c r="E77" s="148"/>
      <c r="F77" s="148"/>
      <c r="G77" s="149"/>
      <c r="H77" s="156">
        <f>+H67*2/5</f>
        <v>1.3333333333333332E-2</v>
      </c>
      <c r="I77" s="157">
        <f>+J67*H77^2+K67</f>
        <v>47.039999999999992</v>
      </c>
    </row>
    <row r="78" spans="1:17" s="1" customFormat="1" ht="13.5" customHeight="1" x14ac:dyDescent="0.2">
      <c r="D78" s="152"/>
      <c r="E78" s="148"/>
      <c r="F78" s="148"/>
      <c r="G78" s="149"/>
      <c r="H78" s="156">
        <f>+H67*3/5</f>
        <v>0.02</v>
      </c>
      <c r="I78" s="157">
        <f>+J67*H78^2+K67</f>
        <v>105.84</v>
      </c>
    </row>
    <row r="79" spans="1:17" s="1" customFormat="1" ht="13.5" customHeight="1" x14ac:dyDescent="0.2">
      <c r="D79" s="152"/>
      <c r="E79" s="148"/>
      <c r="F79" s="148"/>
      <c r="G79" s="149"/>
      <c r="H79" s="156">
        <f>+H67*4/5</f>
        <v>2.6666666666666665E-2</v>
      </c>
      <c r="I79" s="157">
        <f>+J67*H79^2+K67</f>
        <v>188.15999999999997</v>
      </c>
    </row>
    <row r="80" spans="1:17" s="1" customFormat="1" ht="13.5" customHeight="1" x14ac:dyDescent="0.2">
      <c r="D80" s="152"/>
      <c r="E80" s="148"/>
      <c r="F80" s="148"/>
      <c r="G80" s="149"/>
      <c r="H80" s="156">
        <f>+H67</f>
        <v>3.3333333333333333E-2</v>
      </c>
      <c r="I80" s="157">
        <f>+J67*H80^2+K67</f>
        <v>294</v>
      </c>
    </row>
    <row r="81" spans="4:11" s="1" customFormat="1" ht="13.5" customHeight="1" x14ac:dyDescent="0.2">
      <c r="D81" s="152"/>
      <c r="E81" s="148"/>
      <c r="F81" s="148"/>
      <c r="G81" s="149"/>
      <c r="H81" s="156">
        <f>+H67*1.2</f>
        <v>0.04</v>
      </c>
      <c r="I81" s="157">
        <f>+J67*H81^2+K67</f>
        <v>423.36</v>
      </c>
    </row>
    <row r="82" spans="4:11" s="1" customFormat="1" ht="13.5" customHeight="1" thickBot="1" x14ac:dyDescent="0.25">
      <c r="D82" s="158"/>
      <c r="E82" s="159"/>
      <c r="F82" s="159"/>
      <c r="G82" s="160"/>
      <c r="H82" s="161">
        <f>+H67*1.4</f>
        <v>4.6666666666666662E-2</v>
      </c>
      <c r="I82" s="162">
        <f>+J67*H82^2+K67</f>
        <v>576.2399999999999</v>
      </c>
    </row>
    <row r="83" spans="4:11" s="1" customFormat="1" ht="13.5" customHeight="1" x14ac:dyDescent="0.2">
      <c r="G83" s="3"/>
      <c r="H83" s="163"/>
      <c r="I83" s="163"/>
    </row>
    <row r="84" spans="4:11" s="1" customFormat="1" ht="13.5" customHeight="1" thickBot="1" x14ac:dyDescent="0.25">
      <c r="D84" s="1" t="s">
        <v>30</v>
      </c>
    </row>
    <row r="85" spans="4:11" s="1" customFormat="1" ht="13.5" customHeight="1" x14ac:dyDescent="0.2">
      <c r="D85" s="107" t="s">
        <v>2</v>
      </c>
      <c r="E85" s="108" t="s">
        <v>62</v>
      </c>
      <c r="F85" s="109" t="s">
        <v>119</v>
      </c>
      <c r="G85" s="108" t="s">
        <v>63</v>
      </c>
      <c r="H85" s="109" t="s">
        <v>118</v>
      </c>
      <c r="I85" s="164" t="s">
        <v>64</v>
      </c>
      <c r="J85" s="165"/>
      <c r="K85" s="165"/>
    </row>
    <row r="86" spans="4:11" s="1" customFormat="1" ht="13.5" customHeight="1" thickBot="1" x14ac:dyDescent="0.25">
      <c r="D86" s="113" t="s">
        <v>4</v>
      </c>
      <c r="E86" s="116">
        <f>G44</f>
        <v>0</v>
      </c>
      <c r="F86" s="166">
        <f>+G42</f>
        <v>2000</v>
      </c>
      <c r="G86" s="116">
        <f>G43-G44</f>
        <v>294</v>
      </c>
      <c r="H86" s="117">
        <f>+F86/60/1000</f>
        <v>3.3333333333333333E-2</v>
      </c>
      <c r="I86" s="167">
        <f>G43</f>
        <v>294</v>
      </c>
      <c r="J86" s="168"/>
      <c r="K86" s="168"/>
    </row>
    <row r="87" spans="4:11" s="1" customFormat="1" ht="13.5" customHeight="1" thickBot="1" x14ac:dyDescent="0.25">
      <c r="D87" s="169" t="s">
        <v>5</v>
      </c>
      <c r="E87" s="170" t="s">
        <v>6</v>
      </c>
      <c r="F87" s="170" t="s">
        <v>58</v>
      </c>
      <c r="G87" s="170" t="s">
        <v>120</v>
      </c>
      <c r="H87" s="171" t="s">
        <v>68</v>
      </c>
      <c r="I87" s="172" t="s">
        <v>67</v>
      </c>
    </row>
    <row r="88" spans="4:11" s="1" customFormat="1" ht="13.5" customHeight="1" x14ac:dyDescent="0.2">
      <c r="D88" s="173" t="s">
        <v>32</v>
      </c>
      <c r="E88" s="174" t="s">
        <v>27</v>
      </c>
      <c r="F88" s="174">
        <f>F91*0.5</f>
        <v>1000</v>
      </c>
      <c r="G88" s="175">
        <f>+F88/60/1000</f>
        <v>1.6666666666666666E-2</v>
      </c>
      <c r="H88" s="176">
        <f>G57*G88^2+G58*G88+G59</f>
        <v>340.58247422680415</v>
      </c>
      <c r="I88" s="177">
        <f>G46*G88^2+G47</f>
        <v>73.5</v>
      </c>
    </row>
    <row r="89" spans="4:11" s="1" customFormat="1" ht="13.5" customHeight="1" x14ac:dyDescent="0.2">
      <c r="D89" s="134"/>
      <c r="E89" s="128">
        <v>2</v>
      </c>
      <c r="F89" s="128">
        <f>F91*0.6</f>
        <v>1200</v>
      </c>
      <c r="G89" s="178">
        <f t="shared" ref="G89:G92" si="1">+F89/60/1000</f>
        <v>0.02</v>
      </c>
      <c r="H89" s="179">
        <f>G57*G89^2+G58*G89+G59</f>
        <v>334.19818556701034</v>
      </c>
      <c r="I89" s="177">
        <f>G46*G89^2+G47</f>
        <v>105.84</v>
      </c>
      <c r="J89" s="4"/>
      <c r="K89" s="4"/>
    </row>
    <row r="90" spans="4:11" s="1" customFormat="1" ht="13.5" customHeight="1" x14ac:dyDescent="0.2">
      <c r="D90" s="134"/>
      <c r="E90" s="128">
        <v>3</v>
      </c>
      <c r="F90" s="128">
        <f>F91*0.8</f>
        <v>1600</v>
      </c>
      <c r="G90" s="178">
        <f t="shared" si="1"/>
        <v>2.6666666666666668E-2</v>
      </c>
      <c r="H90" s="179">
        <f>G57*G90^2+G58*G90+G59</f>
        <v>317.26944329896907</v>
      </c>
      <c r="I90" s="177">
        <f>G46*G90^2+G47</f>
        <v>188.16000000000003</v>
      </c>
      <c r="J90" s="2"/>
      <c r="K90" s="47"/>
    </row>
    <row r="91" spans="4:11" s="1" customFormat="1" ht="13.5" customHeight="1" x14ac:dyDescent="0.2">
      <c r="D91" s="134"/>
      <c r="E91" s="128" t="s">
        <v>20</v>
      </c>
      <c r="F91" s="128">
        <f>F86</f>
        <v>2000</v>
      </c>
      <c r="G91" s="178">
        <f t="shared" si="1"/>
        <v>3.3333333333333333E-2</v>
      </c>
      <c r="H91" s="179">
        <f>G57*G91^2+G58*G91+G59</f>
        <v>294.79381443298973</v>
      </c>
      <c r="I91" s="177">
        <f>G46*G91^2+G47</f>
        <v>294</v>
      </c>
      <c r="J91" s="105"/>
    </row>
    <row r="92" spans="4:11" s="1" customFormat="1" ht="13.5" customHeight="1" thickBot="1" x14ac:dyDescent="0.25">
      <c r="D92" s="137"/>
      <c r="E92" s="166" t="s">
        <v>21</v>
      </c>
      <c r="F92" s="166">
        <f>1.2*F91</f>
        <v>2400</v>
      </c>
      <c r="G92" s="180">
        <f t="shared" si="1"/>
        <v>0.04</v>
      </c>
      <c r="H92" s="181">
        <f>G57*G92^2+G58*G92+G59</f>
        <v>266.77129896907218</v>
      </c>
      <c r="I92" s="182">
        <f>G46*G92^2+G47</f>
        <v>423.36</v>
      </c>
      <c r="J92" s="105"/>
    </row>
    <row r="93" spans="4:11" s="1" customFormat="1" ht="13.5" customHeight="1" x14ac:dyDescent="0.2"/>
    <row r="94" spans="4:11" s="1" customFormat="1" ht="13.5" customHeight="1" x14ac:dyDescent="0.2"/>
    <row r="95" spans="4:11" s="1" customFormat="1" ht="13.5" customHeight="1" x14ac:dyDescent="0.2"/>
    <row r="96" spans="4:11" s="1" customFormat="1" ht="13.5" customHeight="1" x14ac:dyDescent="0.2">
      <c r="E96" s="3" t="s">
        <v>81</v>
      </c>
      <c r="F96" s="23"/>
      <c r="G96" s="2"/>
    </row>
    <row r="97" spans="4:9" s="1" customFormat="1" ht="13.5" customHeight="1" x14ac:dyDescent="0.2">
      <c r="E97" s="86" t="s">
        <v>82</v>
      </c>
      <c r="F97" s="3" t="s">
        <v>40</v>
      </c>
    </row>
    <row r="98" spans="4:9" s="1" customFormat="1" ht="13.5" customHeight="1" x14ac:dyDescent="0.2">
      <c r="E98" s="86" t="s">
        <v>46</v>
      </c>
      <c r="F98" s="3" t="s">
        <v>41</v>
      </c>
    </row>
    <row r="99" spans="4:9" s="1" customFormat="1" ht="13.5" customHeight="1" x14ac:dyDescent="0.2">
      <c r="D99" s="183"/>
      <c r="E99" s="3" t="s">
        <v>42</v>
      </c>
      <c r="I99" s="183"/>
    </row>
    <row r="100" spans="4:9" ht="13.5" customHeight="1" x14ac:dyDescent="0.2">
      <c r="E100" s="86">
        <v>0</v>
      </c>
      <c r="F100" s="1" t="s">
        <v>43</v>
      </c>
      <c r="G100" s="1"/>
      <c r="H100" s="1"/>
      <c r="I100" s="1"/>
    </row>
    <row r="101" spans="4:9" ht="13.5" customHeight="1" x14ac:dyDescent="0.2">
      <c r="E101" s="86">
        <v>1</v>
      </c>
      <c r="F101" s="1" t="s">
        <v>44</v>
      </c>
      <c r="G101" s="1"/>
      <c r="H101" s="1"/>
      <c r="I101" s="1"/>
    </row>
    <row r="102" spans="4:9" ht="13.5" customHeight="1" x14ac:dyDescent="0.2">
      <c r="E102" s="86">
        <v>2</v>
      </c>
      <c r="F102" s="1" t="s">
        <v>45</v>
      </c>
      <c r="G102" s="1"/>
      <c r="H102" s="1"/>
      <c r="I102" s="1"/>
    </row>
    <row r="103" spans="4:9" ht="13.5" customHeight="1" x14ac:dyDescent="0.2">
      <c r="E103" s="185" t="s">
        <v>47</v>
      </c>
      <c r="F103" s="1"/>
      <c r="G103" s="1"/>
      <c r="H103" s="1"/>
      <c r="I103" s="1"/>
    </row>
    <row r="104" spans="4:9" ht="13.5" customHeight="1" x14ac:dyDescent="0.2">
      <c r="E104" s="1"/>
      <c r="F104" s="1"/>
      <c r="G104" s="1"/>
      <c r="H104" s="1"/>
      <c r="I104" s="1"/>
    </row>
    <row r="105" spans="4:9" ht="13.5" customHeight="1" x14ac:dyDescent="0.2">
      <c r="E105" s="1"/>
      <c r="F105" s="1"/>
      <c r="G105" s="1"/>
      <c r="H105" s="1"/>
      <c r="I105" s="1"/>
    </row>
    <row r="106" spans="4:9" ht="13.5" customHeight="1" x14ac:dyDescent="0.2">
      <c r="E106" s="186"/>
      <c r="F106" s="186" t="s">
        <v>83</v>
      </c>
      <c r="G106" s="186" t="s">
        <v>84</v>
      </c>
    </row>
    <row r="107" spans="4:9" ht="13.5" customHeight="1" x14ac:dyDescent="0.2">
      <c r="E107" s="187" t="s">
        <v>48</v>
      </c>
      <c r="F107" s="186" t="s">
        <v>49</v>
      </c>
      <c r="G107" s="186" t="s">
        <v>51</v>
      </c>
    </row>
    <row r="108" spans="4:9" ht="13.5" customHeight="1" x14ac:dyDescent="0.2">
      <c r="E108" s="187" t="s">
        <v>50</v>
      </c>
      <c r="F108" s="188" t="s">
        <v>85</v>
      </c>
      <c r="G108" s="189" t="s">
        <v>52</v>
      </c>
    </row>
    <row r="109" spans="4:9" ht="13.5" customHeight="1" x14ac:dyDescent="0.2">
      <c r="E109" s="187"/>
      <c r="F109" s="189"/>
      <c r="G109" s="189"/>
      <c r="H109" s="1"/>
      <c r="I109" s="1"/>
    </row>
  </sheetData>
  <sheetProtection algorithmName="SHA-512" hashValue="3Ie+NAyeRhbMxeyQjBQWPy/fRFEJjhPlnNxaqQtnQYPBeZXwLWnDgbJxsBS6/IAwpiNzHdxzX2rkm/GWgvIoAg==" saltValue="QdEK6+vM5ZdqTsUgCwWNZQ==" spinCount="100000" sheet="1" objects="1" scenarios="1"/>
  <mergeCells count="5">
    <mergeCell ref="J69:J73"/>
    <mergeCell ref="D88:D92"/>
    <mergeCell ref="F41:G41"/>
    <mergeCell ref="F25:G25"/>
    <mergeCell ref="D69:D73"/>
  </mergeCells>
  <phoneticPr fontId="2"/>
  <pageMargins left="0.46" right="0.28999999999999998" top="0.39" bottom="0.23" header="0.33" footer="0.2"/>
  <pageSetup paperSize="9" scale="3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冷温水一次ポンプ属性部変更用シート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2014-01-31T15:00:00Z</cp:lastPrinted>
  <dcterms:created xsi:type="dcterms:W3CDTF">2014-01-31T15:00:00Z</dcterms:created>
  <dcterms:modified xsi:type="dcterms:W3CDTF">2025-12-12T04:11:27Z</dcterms:modified>
  <cp:category/>
</cp:coreProperties>
</file>