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codeName="ThisWorkbook"/>
  <xr:revisionPtr revIDLastSave="0" documentId="13_ncr:1_{3DE83166-ABAD-44D4-A473-EE2BD4AA2379}" xr6:coauthVersionLast="47" xr6:coauthVersionMax="47" xr10:uidLastSave="{00000000-0000-0000-0000-000000000000}"/>
  <bookViews>
    <workbookView xWindow="16248" yWindow="1032" windowWidth="24744" windowHeight="16416" tabRatio="848" xr2:uid="{00000000-000D-0000-FFFF-FFFF00000000}"/>
  </bookViews>
  <sheets>
    <sheet name="冷却水ポンプ属性部変更用シート" sheetId="18" r:id="rId1"/>
  </sheet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8" l="1"/>
  <c r="H30" i="18" s="1"/>
  <c r="I70" i="18" l="1"/>
  <c r="I69" i="18"/>
  <c r="I68" i="18"/>
  <c r="I67" i="18"/>
  <c r="I66" i="18"/>
  <c r="I73" i="18" s="1"/>
  <c r="G64" i="18"/>
  <c r="I64" i="18" s="1"/>
  <c r="I74" i="18" s="1"/>
  <c r="H44" i="18"/>
  <c r="J83" i="18"/>
  <c r="H83" i="18"/>
  <c r="G83" i="18"/>
  <c r="G88" i="18" s="1"/>
  <c r="H88" i="18" s="1"/>
  <c r="F83" i="18"/>
  <c r="J70" i="18"/>
  <c r="J69" i="18"/>
  <c r="J68" i="18"/>
  <c r="J67" i="18"/>
  <c r="J66" i="18"/>
  <c r="H64" i="18"/>
  <c r="F64" i="18"/>
  <c r="L64" i="18" s="1"/>
  <c r="J72" i="18" s="1"/>
  <c r="H45" i="18"/>
  <c r="H20" i="18"/>
  <c r="H19" i="18"/>
  <c r="H33" i="18" s="1"/>
  <c r="H18" i="18"/>
  <c r="E17" i="18" s="1"/>
  <c r="H15" i="18"/>
  <c r="H14" i="18" s="1"/>
  <c r="I83" i="18" l="1"/>
  <c r="I75" i="18"/>
  <c r="K64" i="18"/>
  <c r="J75" i="18" s="1"/>
  <c r="G89" i="18"/>
  <c r="H89" i="18" s="1"/>
  <c r="G86" i="18"/>
  <c r="H86" i="18" s="1"/>
  <c r="I88" i="18"/>
  <c r="G85" i="18"/>
  <c r="G87" i="18"/>
  <c r="H87" i="18" s="1"/>
  <c r="H16" i="18"/>
  <c r="H26" i="18" s="1"/>
  <c r="E14" i="18"/>
  <c r="J73" i="18"/>
  <c r="I76" i="18"/>
  <c r="I77" i="18"/>
  <c r="J77" i="18" s="1"/>
  <c r="J64" i="18"/>
  <c r="I78" i="18"/>
  <c r="J78" i="18" s="1"/>
  <c r="I79" i="18"/>
  <c r="J79" i="18" s="1"/>
  <c r="H85" i="18" l="1"/>
  <c r="J85" i="18" s="1"/>
  <c r="J74" i="18"/>
  <c r="J76" i="18"/>
  <c r="J86" i="18"/>
  <c r="I86" i="18"/>
  <c r="E15" i="18"/>
  <c r="H27" i="18"/>
  <c r="K21" i="18"/>
  <c r="J89" i="18"/>
  <c r="I89" i="18"/>
  <c r="J88" i="18"/>
  <c r="J87" i="18"/>
  <c r="I87" i="18"/>
  <c r="I85" i="18" l="1"/>
  <c r="H29" i="18"/>
  <c r="H31" i="18" l="1"/>
  <c r="H32" i="18" s="1"/>
  <c r="H42" i="18" s="1"/>
  <c r="H34" i="18" s="1"/>
  <c r="H17" i="18" s="1"/>
  <c r="K22" i="18" s="1"/>
  <c r="H35" i="18"/>
  <c r="H36" i="18" s="1"/>
  <c r="H13" i="18" s="1"/>
  <c r="K13" i="18" s="1"/>
  <c r="N52" i="18" l="1"/>
  <c r="N51" i="18"/>
  <c r="N50" i="18"/>
  <c r="N54" i="18"/>
  <c r="N56" i="18"/>
  <c r="N55" i="18"/>
  <c r="N53" i="18"/>
  <c r="M48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1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制御0,1 : 定速，定圧時水量比x Vpl
制御2: Vpl x Rvw
制御にその他の数値：99999</t>
        </r>
      </text>
    </comment>
    <comment ref="H2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最小吐出圧制御時には
最小流量比を設定する</t>
        </r>
      </text>
    </comment>
    <comment ref="H24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0:定速
1:吐出圧一定 
2:最小吐出圧･末端差圧・負荷側制御なし</t>
        </r>
      </text>
    </comment>
    <comment ref="H26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 xml:space="preserve">Vw送水に必要な揚程
制御０ ： Ppl
制御１ ： Pd=Ppl
制御２ ： Pd=Pd=A*(Vw/60)^2+B
他       ： Pd=99999
</t>
        </r>
      </text>
    </comment>
    <comment ref="H27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制御 0：Nd=Nｐｌ         
制御 1：Nd=( -b*Vw/60+ ( (b*Vw/60)^2-4*c* (a*(Vw/60)^2-Pd) )^0.5)  /2/c *Npl
    （回転数とＰＱ特性の関係式 P = a･Vw2 + b･Vw･(n/Npl) + c･(n/Npl)2 よりnを求めるNd=n）
制御 2：Nd=( -b*Vw/60+ ( (b*Vw/60)^2-4*c* (a*(Vw/60)^2-Pd) )^0.5)  /2/c *Npl
他：99999</t>
        </r>
      </text>
    </comment>
    <comment ref="H28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上下限チェック
停止：                 N=0
if Nd&lt;Nmin then  N=Nmin
if Nd&gt;Nmax then N=99999
If Nd&gt;=Nmin and Nd&lt;=Nmax then N=Nd</t>
        </r>
      </text>
    </comment>
    <comment ref="H29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回転数の下限に掛かると動作点は最小回転数のPQ線上となる
停止   ：         P=0
制御0 ：  a*(Vw/60)^2+b*Vw/60+c
制御1 ：  if Nd&gt;=N then 
                    P=Ppl  (下限に掛からないとき)
                else               
                    P=a*(Vw/60)^2+N/Npl*b*Vw/60+(N/Npl)^2*c)  (下限に掛かるときPQ線上を移動)
              endif 
制御0,1以外：  if Nd&gt;=N then 
                    P=Pd  (下限に掛からないとき)
                else
                   P=a*(Vw/60)^2+N/Npl*b*Vw/60+(N/Npl)^2*c)  (下限に掛かるときPQ線上を移動)
              endif</t>
        </r>
      </text>
    </comment>
    <comment ref="H3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停止：制御に関係なく  Pe=0
運転のとき 
       Pe=aec*(Vw*P/60000/η/e)+bec
              理論動力の式</t>
        </r>
      </text>
    </comment>
    <comment ref="H34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if(or(運転状態=0 , 運転モード = 0) , ポンプ入口温度,ポンプ入口温度＋ポンプによる温度上昇)
</t>
        </r>
      </text>
    </comment>
    <comment ref="H35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エラーコード：</t>
        </r>
        <r>
          <rPr>
            <sz val="9"/>
            <color indexed="81"/>
            <rFont val="ＭＳ Ｐゴシック"/>
            <family val="3"/>
            <charset val="128"/>
          </rPr>
          <t xml:space="preserve">　
表示された数値の桁数は、エラーが生じた条件項目の位置を表す。
</t>
        </r>
        <r>
          <rPr>
            <sz val="9"/>
            <color indexed="81"/>
            <rFont val="ＭＳ ゴシック"/>
            <family val="3"/>
            <charset val="128"/>
          </rPr>
          <t>10位:</t>
        </r>
        <r>
          <rPr>
            <sz val="9"/>
            <color indexed="81"/>
            <rFont val="ＭＳ Ｐゴシック"/>
            <family val="3"/>
            <charset val="128"/>
          </rPr>
          <t xml:space="preserve">  揚程
 </t>
        </r>
        <r>
          <rPr>
            <sz val="9"/>
            <color indexed="81"/>
            <rFont val="ＭＳ ゴシック"/>
            <family val="3"/>
            <charset val="128"/>
          </rPr>
          <t>1位： 周波数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数字の意味：　</t>
        </r>
        <r>
          <rPr>
            <sz val="9"/>
            <color indexed="81"/>
            <rFont val="ＭＳ Ｐゴシック"/>
            <family val="3"/>
            <charset val="128"/>
          </rPr>
          <t xml:space="preserve">
0 : good
1 : warning
2 : error</t>
        </r>
      </text>
    </comment>
    <comment ref="H36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if 運転状態=0,"good"
エラーコード　[1],[2]を含まなければgood
[2]を含めばerror
[1]を含めばwarrning
</t>
        </r>
      </text>
    </comment>
    <comment ref="H39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H40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 仕様書より入力
</t>
        </r>
      </text>
    </comment>
    <comment ref="H41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H43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固定値，デフォルト</t>
        </r>
      </text>
    </comment>
    <comment ref="H44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45" authorId="0" shapeId="0" xr:uid="{00000000-0006-0000-0000-000011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46" authorId="0" shapeId="0" xr:uid="{00000000-0006-0000-00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H47" authorId="0" shapeId="0" xr:uid="{00000000-0006-0000-00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H48" authorId="0" shapeId="0" xr:uid="{00000000-0006-0000-0000-000014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H49" authorId="0" shapeId="0" xr:uid="{00000000-0006-0000-0000-000015000000}">
      <text>
        <r>
          <rPr>
            <sz val="9"/>
            <color indexed="81"/>
            <rFont val="ＭＳ Ｐゴシック"/>
            <family val="3"/>
            <charset val="128"/>
          </rPr>
          <t>仕様書より入力</t>
        </r>
      </text>
    </comment>
    <comment ref="H50" authorId="0" shapeId="0" xr:uid="{00000000-0006-0000-0000-000016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1" authorId="0" shapeId="0" xr:uid="{00000000-0006-0000-0000-000017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2" authorId="0" shapeId="0" xr:uid="{00000000-0006-0000-0000-000018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3" authorId="0" shapeId="0" xr:uid="{00000000-0006-0000-0000-000019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4" authorId="0" shapeId="0" xr:uid="{00000000-0006-0000-0000-00001A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5" authorId="0" shapeId="0" xr:uid="{00000000-0006-0000-0000-00001B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6" authorId="0" shapeId="0" xr:uid="{00000000-0006-0000-0000-00001C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H57" authorId="0" shapeId="0" xr:uid="{00000000-0006-0000-0000-00001D000000}">
      <text>
        <r>
          <rPr>
            <sz val="9"/>
            <color indexed="81"/>
            <rFont val="ＭＳ Ｐゴシック"/>
            <family val="3"/>
            <charset val="128"/>
          </rPr>
          <t xml:space="preserve">デフォルト　１
</t>
        </r>
      </text>
    </comment>
    <comment ref="H58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デフォルト　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64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設計揚程-実揚程０</t>
        </r>
      </text>
    </comment>
    <comment ref="K64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配管特性A=
配管揚程(kPa)
/流量(m3/s)^2</t>
        </r>
      </text>
    </comment>
    <comment ref="L64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配管特性B=実揚程(kPa)</t>
        </r>
      </text>
    </comment>
    <comment ref="G66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ポンプの仕様書からPQ特性の５点を入力</t>
        </r>
      </text>
    </comment>
    <comment ref="J72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実揚程(kPa)</t>
        </r>
      </text>
    </comment>
    <comment ref="J73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配管抵抗=AxQ^2+B  </t>
        </r>
      </text>
    </comment>
    <comment ref="F83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実揚程</t>
        </r>
      </text>
    </comment>
    <comment ref="H83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定格揚程-実揚程</t>
        </r>
      </text>
    </comment>
  </commentList>
</comments>
</file>

<file path=xl/sharedStrings.xml><?xml version="1.0" encoding="utf-8"?>
<sst xmlns="http://schemas.openxmlformats.org/spreadsheetml/2006/main" count="141" uniqueCount="127">
  <si>
    <t>冷却塔</t>
    <rPh sb="0" eb="3">
      <t>レイキャクトウ</t>
    </rPh>
    <phoneticPr fontId="1"/>
  </si>
  <si>
    <t>ポンプ効率</t>
    <rPh sb="3" eb="5">
      <t>コウリツ</t>
    </rPh>
    <phoneticPr fontId="1"/>
  </si>
  <si>
    <t>冷却水ポンプ制御</t>
    <rPh sb="6" eb="8">
      <t>セイギョ</t>
    </rPh>
    <phoneticPr fontId="1"/>
  </si>
  <si>
    <t>初期化スイッチ</t>
    <rPh sb="0" eb="3">
      <t>ショキカ</t>
    </rPh>
    <phoneticPr fontId="1"/>
  </si>
  <si>
    <t>１：初期値  0：算出</t>
    <rPh sb="2" eb="5">
      <t>ショキチ</t>
    </rPh>
    <rPh sb="9" eb="11">
      <t>サンシュツ</t>
    </rPh>
    <phoneticPr fontId="1"/>
  </si>
  <si>
    <t>冷却水ポンプ属性</t>
    <rPh sb="0" eb="3">
      <t>レイキャクスイ</t>
    </rPh>
    <rPh sb="6" eb="8">
      <t>ゾクセイ</t>
    </rPh>
    <phoneticPr fontId="1"/>
  </si>
  <si>
    <t>配管特性</t>
    <rPh sb="0" eb="2">
      <t>ハイカン</t>
    </rPh>
    <rPh sb="2" eb="4">
      <t>トクセイ</t>
    </rPh>
    <phoneticPr fontId="1"/>
  </si>
  <si>
    <t>備考</t>
    <rPh sb="0" eb="2">
      <t>ビコウ</t>
    </rPh>
    <phoneticPr fontId="1"/>
  </si>
  <si>
    <t>設計仕様</t>
    <rPh sb="0" eb="2">
      <t>セッケイ</t>
    </rPh>
    <rPh sb="2" eb="4">
      <t>シヨウ</t>
    </rPh>
    <phoneticPr fontId="1"/>
  </si>
  <si>
    <t>作図</t>
    <rPh sb="0" eb="2">
      <t>サクズ</t>
    </rPh>
    <phoneticPr fontId="1"/>
  </si>
  <si>
    <t>5点入力</t>
    <rPh sb="1" eb="2">
      <t>テン</t>
    </rPh>
    <rPh sb="2" eb="4">
      <t>ニュウリョク</t>
    </rPh>
    <phoneticPr fontId="1"/>
  </si>
  <si>
    <t>ポンプPQ特性を二次式に近似</t>
    <rPh sb="8" eb="11">
      <t>ニジシキ</t>
    </rPh>
    <rPh sb="12" eb="14">
      <t>キンジ</t>
    </rPh>
    <phoneticPr fontId="1"/>
  </si>
  <si>
    <t>作図した数式よりa,b,cをポンプ属性に入力</t>
    <rPh sb="0" eb="2">
      <t>サクズ</t>
    </rPh>
    <rPh sb="4" eb="6">
      <t>スウシキ</t>
    </rPh>
    <rPh sb="17" eb="19">
      <t>ゾクセイ</t>
    </rPh>
    <rPh sb="20" eb="22">
      <t>ニュウリョク</t>
    </rPh>
    <phoneticPr fontId="1"/>
  </si>
  <si>
    <t>P-Q特性</t>
    <rPh sb="3" eb="5">
      <t>トクセイ</t>
    </rPh>
    <phoneticPr fontId="1"/>
  </si>
  <si>
    <t>動力補正係数 aec</t>
    <rPh sb="0" eb="2">
      <t>ドウリョク</t>
    </rPh>
    <rPh sb="2" eb="4">
      <t>ホセイ</t>
    </rPh>
    <rPh sb="4" eb="6">
      <t>ケイスウ</t>
    </rPh>
    <phoneticPr fontId="1"/>
  </si>
  <si>
    <t>動力補正係数 bec</t>
    <rPh sb="0" eb="2">
      <t>ドウリョク</t>
    </rPh>
    <rPh sb="2" eb="4">
      <t>ホセイ</t>
    </rPh>
    <rPh sb="4" eb="6">
      <t>ケイスウ</t>
    </rPh>
    <phoneticPr fontId="1"/>
  </si>
  <si>
    <t>エラー状態</t>
    <rPh sb="3" eb="5">
      <t>ジョウタイ</t>
    </rPh>
    <phoneticPr fontId="1"/>
  </si>
  <si>
    <t>運転状態　0:停止 1:運転</t>
    <rPh sb="0" eb="2">
      <t>ウンテン</t>
    </rPh>
    <rPh sb="2" eb="4">
      <t>ジョウタイ</t>
    </rPh>
    <rPh sb="7" eb="9">
      <t>テイシ</t>
    </rPh>
    <rPh sb="12" eb="14">
      <t>ウンテン</t>
    </rPh>
    <phoneticPr fontId="1"/>
  </si>
  <si>
    <t>4(定格）</t>
    <rPh sb="2" eb="4">
      <t>テイカク</t>
    </rPh>
    <phoneticPr fontId="1"/>
  </si>
  <si>
    <t>5（定格x1.2)）</t>
    <rPh sb="2" eb="4">
      <t>テイカク</t>
    </rPh>
    <phoneticPr fontId="1"/>
  </si>
  <si>
    <t>冷却水ポンプ属性作成シート（黄欄入力、赤欄記入、グラフ内abcを記入）</t>
    <rPh sb="0" eb="3">
      <t>レイキャクスイ</t>
    </rPh>
    <rPh sb="6" eb="8">
      <t>ゾクセイ</t>
    </rPh>
    <rPh sb="8" eb="10">
      <t>サクセイ</t>
    </rPh>
    <rPh sb="14" eb="15">
      <t>キ</t>
    </rPh>
    <rPh sb="15" eb="16">
      <t>ラン</t>
    </rPh>
    <rPh sb="16" eb="18">
      <t>ニュウリョク</t>
    </rPh>
    <rPh sb="19" eb="20">
      <t>アカ</t>
    </rPh>
    <rPh sb="20" eb="21">
      <t>ラン</t>
    </rPh>
    <rPh sb="21" eb="23">
      <t>キニュウ</t>
    </rPh>
    <rPh sb="27" eb="28">
      <t>ナイ</t>
    </rPh>
    <rPh sb="32" eb="34">
      <t>キニュウ</t>
    </rPh>
    <phoneticPr fontId="1"/>
  </si>
  <si>
    <t>配管特性A</t>
    <rPh sb="0" eb="2">
      <t>ハイカン</t>
    </rPh>
    <rPh sb="2" eb="4">
      <t>トクセイ</t>
    </rPh>
    <phoneticPr fontId="1"/>
  </si>
  <si>
    <t>配管特性B</t>
    <rPh sb="0" eb="2">
      <t>ハイカン</t>
    </rPh>
    <rPh sb="2" eb="4">
      <t>トクセイ</t>
    </rPh>
    <phoneticPr fontId="1"/>
  </si>
  <si>
    <t>a,bをポンプ属性に入力</t>
    <rPh sb="7" eb="9">
      <t>ゾクセイ</t>
    </rPh>
    <rPh sb="10" eb="12">
      <t>ニュウリョク</t>
    </rPh>
    <phoneticPr fontId="1"/>
  </si>
  <si>
    <t>エラー状態</t>
    <phoneticPr fontId="1"/>
  </si>
  <si>
    <t>1(min)</t>
    <phoneticPr fontId="1"/>
  </si>
  <si>
    <t>1(min)</t>
    <phoneticPr fontId="1"/>
  </si>
  <si>
    <t>ポンプPQ特性・配管系抵抗　属性部の値より計算</t>
    <rPh sb="8" eb="11">
      <t>ハイカンケイ</t>
    </rPh>
    <rPh sb="11" eb="13">
      <t>テイコウ</t>
    </rPh>
    <rPh sb="14" eb="16">
      <t>ゾクセイ</t>
    </rPh>
    <rPh sb="16" eb="17">
      <t>ブ</t>
    </rPh>
    <rPh sb="18" eb="19">
      <t>アタイ</t>
    </rPh>
    <rPh sb="21" eb="23">
      <t>ケイサン</t>
    </rPh>
    <phoneticPr fontId="1"/>
  </si>
  <si>
    <t>配管系抵抗</t>
    <rPh sb="0" eb="2">
      <t>ハイカン</t>
    </rPh>
    <rPh sb="2" eb="3">
      <t>ケイ</t>
    </rPh>
    <rPh sb="3" eb="5">
      <t>テイコウ</t>
    </rPh>
    <phoneticPr fontId="1"/>
  </si>
  <si>
    <t>計算で求めた配管系抵抗曲線(右図のため)</t>
    <rPh sb="0" eb="2">
      <t>ケイサン</t>
    </rPh>
    <rPh sb="3" eb="4">
      <t>モト</t>
    </rPh>
    <rPh sb="11" eb="13">
      <t>キョクセン</t>
    </rPh>
    <rPh sb="14" eb="15">
      <t>ミギ</t>
    </rPh>
    <rPh sb="15" eb="16">
      <t>ズ</t>
    </rPh>
    <phoneticPr fontId="1"/>
  </si>
  <si>
    <t>確認用　ポンプＰ-Ｑ特性グラフ，配管系抵抗グラフ自動描画用セル</t>
    <rPh sb="0" eb="3">
      <t>カクニンヨウ</t>
    </rPh>
    <rPh sb="10" eb="12">
      <t>トクセイ</t>
    </rPh>
    <rPh sb="24" eb="26">
      <t>ジドウ</t>
    </rPh>
    <rPh sb="26" eb="28">
      <t>ビョウガ</t>
    </rPh>
    <rPh sb="28" eb="29">
      <t>ヨウ</t>
    </rPh>
    <phoneticPr fontId="1"/>
  </si>
  <si>
    <t>エラー判定</t>
    <rPh sb="3" eb="5">
      <t>ハンテイ</t>
    </rPh>
    <phoneticPr fontId="1"/>
  </si>
  <si>
    <t>直だき吸収冷温水機</t>
    <rPh sb="0" eb="1">
      <t>チョク</t>
    </rPh>
    <rPh sb="3" eb="5">
      <t>キュウシュウ</t>
    </rPh>
    <rPh sb="5" eb="8">
      <t>レイオンスイ</t>
    </rPh>
    <rPh sb="8" eb="9">
      <t>キ</t>
    </rPh>
    <phoneticPr fontId="1"/>
  </si>
  <si>
    <t>送水制御 0:定速 1:定圧 2:最小吐出圧</t>
    <rPh sb="7" eb="8">
      <t>テイ</t>
    </rPh>
    <rPh sb="8" eb="9">
      <t>ソク</t>
    </rPh>
    <rPh sb="12" eb="14">
      <t>テイアツ</t>
    </rPh>
    <rPh sb="17" eb="19">
      <t>サイショウ</t>
    </rPh>
    <rPh sb="19" eb="21">
      <t>トシュツ</t>
    </rPh>
    <rPh sb="21" eb="22">
      <t>アツ</t>
    </rPh>
    <phoneticPr fontId="1"/>
  </si>
  <si>
    <t>エラーコード(揚程;周波数）</t>
    <rPh sb="7" eb="9">
      <t>ヨウテイ</t>
    </rPh>
    <rPh sb="10" eb="13">
      <t>シュウハスウ</t>
    </rPh>
    <phoneticPr fontId="1"/>
  </si>
  <si>
    <t>【各桁数に表示された数の意味】</t>
    <rPh sb="1" eb="2">
      <t>カク</t>
    </rPh>
    <rPh sb="2" eb="4">
      <t>ケタスウ</t>
    </rPh>
    <rPh sb="5" eb="7">
      <t>ヒョウジ</t>
    </rPh>
    <phoneticPr fontId="1"/>
  </si>
  <si>
    <t>：good　  （計算精度維持範囲内）</t>
    <rPh sb="17" eb="18">
      <t>ナイ</t>
    </rPh>
    <phoneticPr fontId="1"/>
  </si>
  <si>
    <t>：warning （計算精度維持範囲外）</t>
    <rPh sb="10" eb="12">
      <t>ケイサン</t>
    </rPh>
    <rPh sb="12" eb="14">
      <t>セイド</t>
    </rPh>
    <rPh sb="14" eb="16">
      <t>イジ</t>
    </rPh>
    <rPh sb="16" eb="19">
      <t>ハンイガイ</t>
    </rPh>
    <phoneticPr fontId="1"/>
  </si>
  <si>
    <t>：error 　 （機器許容運転範囲外）</t>
    <rPh sb="10" eb="12">
      <t>キキ</t>
    </rPh>
    <rPh sb="12" eb="14">
      <t>キョヨウ</t>
    </rPh>
    <rPh sb="14" eb="16">
      <t>ウンテン</t>
    </rPh>
    <rPh sb="16" eb="19">
      <t>ハンイガイ</t>
    </rPh>
    <phoneticPr fontId="1"/>
  </si>
  <si>
    <t>：揚程条件</t>
    <rPh sb="1" eb="3">
      <t>ヨウテイ</t>
    </rPh>
    <rPh sb="3" eb="5">
      <t>ジョウケン</t>
    </rPh>
    <phoneticPr fontId="1"/>
  </si>
  <si>
    <t>：周波数条件</t>
    <rPh sb="1" eb="4">
      <t>シュウハスウ</t>
    </rPh>
    <rPh sb="4" eb="6">
      <t>ジョウケン</t>
    </rPh>
    <phoneticPr fontId="1"/>
  </si>
  <si>
    <t xml:space="preserve">    1 の位</t>
    <phoneticPr fontId="1"/>
  </si>
  <si>
    <t>揚程条件</t>
    <rPh sb="0" eb="2">
      <t>ヨウテイ</t>
    </rPh>
    <rPh sb="2" eb="4">
      <t>ジョウケン</t>
    </rPh>
    <phoneticPr fontId="1"/>
  </si>
  <si>
    <t>必要な揚程＝99999　ポンプ制御誤入力</t>
    <rPh sb="0" eb="2">
      <t>ヒツヨウ</t>
    </rPh>
    <rPh sb="3" eb="5">
      <t>ヨウテイ</t>
    </rPh>
    <rPh sb="15" eb="17">
      <t>セイギョ</t>
    </rPh>
    <rPh sb="17" eb="18">
      <t>ゴ</t>
    </rPh>
    <rPh sb="18" eb="20">
      <t>ニュウリョク</t>
    </rPh>
    <phoneticPr fontId="1"/>
  </si>
  <si>
    <t>周波数条件</t>
    <rPh sb="0" eb="3">
      <t>シュウハスウ</t>
    </rPh>
    <rPh sb="3" eb="5">
      <t>ジョウケン</t>
    </rPh>
    <phoneticPr fontId="1"/>
  </si>
  <si>
    <t>実際の揚程 ＜ 必要な揚程　ポンプ揚程が不足</t>
    <rPh sb="0" eb="2">
      <t>ジッサイ</t>
    </rPh>
    <rPh sb="3" eb="5">
      <t>ヨウテイ</t>
    </rPh>
    <rPh sb="8" eb="10">
      <t>ヒツヨウ</t>
    </rPh>
    <rPh sb="11" eb="13">
      <t>ヨウテイ</t>
    </rPh>
    <rPh sb="17" eb="19">
      <t>ヨウテイ</t>
    </rPh>
    <rPh sb="20" eb="22">
      <t>ブソク</t>
    </rPh>
    <phoneticPr fontId="1"/>
  </si>
  <si>
    <t>実際の周波数 ＝ 99999 ポンプ周波数が上限周波数を超える</t>
    <rPh sb="0" eb="2">
      <t>ジッサイ</t>
    </rPh>
    <rPh sb="3" eb="6">
      <t>シュウハスウ</t>
    </rPh>
    <rPh sb="18" eb="21">
      <t>シュウハスウ</t>
    </rPh>
    <rPh sb="22" eb="24">
      <t>ジョウゲン</t>
    </rPh>
    <rPh sb="24" eb="27">
      <t>シュウハスウ</t>
    </rPh>
    <rPh sb="28" eb="29">
      <t>コ</t>
    </rPh>
    <phoneticPr fontId="1"/>
  </si>
  <si>
    <t>冷却水量 ［㍑/min］</t>
    <rPh sb="0" eb="2">
      <t>レイキャク</t>
    </rPh>
    <rPh sb="2" eb="4">
      <t>スイリョウ</t>
    </rPh>
    <phoneticPr fontId="1"/>
  </si>
  <si>
    <t>冷却水出口温度 ［℃］</t>
    <rPh sb="0" eb="3">
      <t>レイキャクスイ</t>
    </rPh>
    <rPh sb="3" eb="5">
      <t>デグチ</t>
    </rPh>
    <rPh sb="5" eb="7">
      <t>オンド</t>
    </rPh>
    <phoneticPr fontId="1"/>
  </si>
  <si>
    <t>冷却水入口温度 ［℃］</t>
    <rPh sb="0" eb="3">
      <t>レイキャクスイ</t>
    </rPh>
    <rPh sb="3" eb="5">
      <t>イリグチ</t>
    </rPh>
    <rPh sb="5" eb="7">
      <t>オンド</t>
    </rPh>
    <phoneticPr fontId="1"/>
  </si>
  <si>
    <t>外気湿球温度 ［℃］</t>
    <rPh sb="0" eb="2">
      <t>ガイキ</t>
    </rPh>
    <rPh sb="2" eb="4">
      <t>シッキュウ</t>
    </rPh>
    <rPh sb="4" eb="6">
      <t>オンド</t>
    </rPh>
    <phoneticPr fontId="1"/>
  </si>
  <si>
    <t>定格冷却水量 ［㍑/min］</t>
    <rPh sb="0" eb="2">
      <t>テイカク</t>
    </rPh>
    <rPh sb="2" eb="4">
      <t>レイキャク</t>
    </rPh>
    <rPh sb="4" eb="6">
      <t>スイリョウ</t>
    </rPh>
    <phoneticPr fontId="1"/>
  </si>
  <si>
    <t>冷却水往温度 ［℃］</t>
    <rPh sb="0" eb="3">
      <t>レイキャクスイ</t>
    </rPh>
    <rPh sb="3" eb="4">
      <t>オウ</t>
    </rPh>
    <rPh sb="4" eb="6">
      <t>オンド</t>
    </rPh>
    <phoneticPr fontId="1"/>
  </si>
  <si>
    <t>冷却水還温度 ［℃］</t>
    <rPh sb="0" eb="3">
      <t>レイキャクスイ</t>
    </rPh>
    <rPh sb="3" eb="4">
      <t>カン</t>
    </rPh>
    <rPh sb="4" eb="6">
      <t>オンド</t>
    </rPh>
    <phoneticPr fontId="1"/>
  </si>
  <si>
    <t>ポンプ入口温度 ［℃］</t>
    <rPh sb="3" eb="5">
      <t>イリグチ</t>
    </rPh>
    <rPh sb="5" eb="7">
      <t>オンド</t>
    </rPh>
    <phoneticPr fontId="1"/>
  </si>
  <si>
    <t>冷凍機負荷率clr ［-］</t>
    <rPh sb="0" eb="2">
      <t>レイトウ</t>
    </rPh>
    <rPh sb="2" eb="3">
      <t>キ</t>
    </rPh>
    <rPh sb="3" eb="5">
      <t>フカ</t>
    </rPh>
    <rPh sb="5" eb="6">
      <t>リツ</t>
    </rPh>
    <phoneticPr fontId="1"/>
  </si>
  <si>
    <t>冷凍機負荷率 ［-］</t>
    <rPh sb="0" eb="3">
      <t>レイトウキ</t>
    </rPh>
    <rPh sb="3" eb="5">
      <t>フカ</t>
    </rPh>
    <rPh sb="5" eb="6">
      <t>リツ</t>
    </rPh>
    <phoneticPr fontId="1"/>
  </si>
  <si>
    <t>冷却水往温度 ［℃］</t>
    <rPh sb="0" eb="3">
      <t>レイキャクスイ</t>
    </rPh>
    <rPh sb="3" eb="6">
      <t>イキオンド</t>
    </rPh>
    <phoneticPr fontId="1"/>
  </si>
  <si>
    <t>実揚程 ［kPa］</t>
    <rPh sb="0" eb="1">
      <t>ジツ</t>
    </rPh>
    <rPh sb="1" eb="2">
      <t>アゲ</t>
    </rPh>
    <rPh sb="2" eb="3">
      <t>テイ</t>
    </rPh>
    <phoneticPr fontId="1"/>
  </si>
  <si>
    <t>ポンプによる温度上昇 ［℃］</t>
    <rPh sb="6" eb="8">
      <t>オンド</t>
    </rPh>
    <rPh sb="8" eb="10">
      <t>ジョウショウ</t>
    </rPh>
    <phoneticPr fontId="1"/>
  </si>
  <si>
    <t>実揚程［kPa］</t>
    <rPh sb="0" eb="1">
      <t>ジツ</t>
    </rPh>
    <rPh sb="1" eb="2">
      <t>ヨウ</t>
    </rPh>
    <rPh sb="2" eb="3">
      <t>テイ</t>
    </rPh>
    <phoneticPr fontId="1"/>
  </si>
  <si>
    <t>揚程 ［m］</t>
    <rPh sb="0" eb="1">
      <t>ヨウ</t>
    </rPh>
    <rPh sb="1" eb="2">
      <t>テイ</t>
    </rPh>
    <phoneticPr fontId="1"/>
  </si>
  <si>
    <t>実揚程［kPa］</t>
    <rPh sb="0" eb="1">
      <t>ジツ</t>
    </rPh>
    <rPh sb="1" eb="3">
      <t>ヨウテイ</t>
    </rPh>
    <phoneticPr fontId="1"/>
  </si>
  <si>
    <t>配管揚程［kPa］</t>
    <rPh sb="0" eb="2">
      <t>ハイカン</t>
    </rPh>
    <rPh sb="2" eb="4">
      <t>ヨウテイ</t>
    </rPh>
    <phoneticPr fontId="1"/>
  </si>
  <si>
    <t>揚程［kPa］</t>
    <rPh sb="0" eb="2">
      <t>ヨウテイ</t>
    </rPh>
    <phoneticPr fontId="1"/>
  </si>
  <si>
    <t>設計揚程 ［kPa］</t>
    <rPh sb="0" eb="2">
      <t>セッケイ</t>
    </rPh>
    <rPh sb="2" eb="4">
      <t>ヨウテイ</t>
    </rPh>
    <phoneticPr fontId="1"/>
  </si>
  <si>
    <t>揚程 ［kPa］</t>
    <rPh sb="0" eb="2">
      <t>ヨウテイ</t>
    </rPh>
    <phoneticPr fontId="1"/>
  </si>
  <si>
    <t>配管揚程　［kPa］</t>
    <rPh sb="0" eb="2">
      <t>ハイカン</t>
    </rPh>
    <rPh sb="2" eb="3">
      <t>ヨウ</t>
    </rPh>
    <rPh sb="3" eb="4">
      <t>テイ</t>
    </rPh>
    <phoneticPr fontId="1"/>
  </si>
  <si>
    <t>冷却水量 ［㍑/min］</t>
    <rPh sb="0" eb="3">
      <t>レイキャクスイ</t>
    </rPh>
    <rPh sb="3" eb="4">
      <t>リョウ</t>
    </rPh>
    <phoneticPr fontId="1"/>
  </si>
  <si>
    <t>エラー状態</t>
  </si>
  <si>
    <t>運転状態　0:停止 1:運転</t>
  </si>
  <si>
    <t>運転ﾓｰﾄﾞ　0:停止 1:冷房 2:暖房</t>
  </si>
  <si>
    <t>運転順位</t>
  </si>
  <si>
    <t>定格冷凍/加熱能力　［kW］</t>
    <rPh sb="2" eb="4">
      <t>レイトウ</t>
    </rPh>
    <rPh sb="5" eb="7">
      <t>カネツ</t>
    </rPh>
    <rPh sb="7" eb="9">
      <t>ノウリョク</t>
    </rPh>
    <phoneticPr fontId="1"/>
  </si>
  <si>
    <t>冷温水量　［㍑/min］</t>
    <rPh sb="1" eb="2">
      <t>オン</t>
    </rPh>
    <rPh sb="3" eb="4">
      <t>リョウ</t>
    </rPh>
    <phoneticPr fontId="1"/>
  </si>
  <si>
    <t>冷温水出口温度　［℃］</t>
    <rPh sb="5" eb="7">
      <t>オンド</t>
    </rPh>
    <phoneticPr fontId="1"/>
  </si>
  <si>
    <t>冷温水入口温度　［℃］</t>
    <rPh sb="5" eb="7">
      <t>オンド</t>
    </rPh>
    <phoneticPr fontId="1"/>
  </si>
  <si>
    <t>冷却水量 ［㍑/min］</t>
    <rPh sb="3" eb="4">
      <t>リョウ</t>
    </rPh>
    <phoneticPr fontId="1"/>
  </si>
  <si>
    <t>冷却水入口温度　［℃］</t>
    <rPh sb="5" eb="7">
      <t>オンド</t>
    </rPh>
    <phoneticPr fontId="1"/>
  </si>
  <si>
    <t>冷却水出口温度　［℃］</t>
    <rPh sb="5" eb="7">
      <t>オンド</t>
    </rPh>
    <phoneticPr fontId="1"/>
  </si>
  <si>
    <t>［kPa］</t>
    <phoneticPr fontId="1"/>
  </si>
  <si>
    <t>5（max）</t>
    <phoneticPr fontId="1"/>
  </si>
  <si>
    <t>【エラーコード】</t>
    <phoneticPr fontId="1"/>
  </si>
  <si>
    <t xml:space="preserve">   10 の位</t>
    <phoneticPr fontId="1"/>
  </si>
  <si>
    <t>※表示された数値の桁数は、エラーが生じた条件項目の位置を表す。</t>
    <phoneticPr fontId="1"/>
  </si>
  <si>
    <t>【warning 】</t>
    <phoneticPr fontId="1"/>
  </si>
  <si>
    <t>【error 】</t>
    <phoneticPr fontId="1"/>
  </si>
  <si>
    <t>-</t>
    <phoneticPr fontId="1"/>
  </si>
  <si>
    <t xml:space="preserve">必要な揚程 ［kPa］：Pd </t>
    <rPh sb="0" eb="2">
      <t>ヒツヨウ</t>
    </rPh>
    <rPh sb="3" eb="5">
      <t>ヨウテイ</t>
    </rPh>
    <phoneticPr fontId="1"/>
  </si>
  <si>
    <t>必要な周波数 ［Hz］：Nd</t>
    <rPh sb="0" eb="2">
      <t>ヒツヨウ</t>
    </rPh>
    <rPh sb="3" eb="6">
      <t>シュウハスウ</t>
    </rPh>
    <phoneticPr fontId="1"/>
  </si>
  <si>
    <t>実際の周波数 ［Hz］：N</t>
    <rPh sb="0" eb="2">
      <t>ジッサイ</t>
    </rPh>
    <rPh sb="3" eb="6">
      <t>シュウハスウ</t>
    </rPh>
    <phoneticPr fontId="1"/>
  </si>
  <si>
    <t>実際の揚程 ［kPa］：P</t>
    <rPh sb="0" eb="2">
      <t>ジッサイ</t>
    </rPh>
    <rPh sb="3" eb="4">
      <t>ヨウ</t>
    </rPh>
    <rPh sb="4" eb="5">
      <t>テイ</t>
    </rPh>
    <phoneticPr fontId="1"/>
  </si>
  <si>
    <t>電力消費量 ［kW］：Pe</t>
    <rPh sb="0" eb="2">
      <t>デンリョク</t>
    </rPh>
    <rPh sb="2" eb="5">
      <t>ショウヒリョウ</t>
    </rPh>
    <phoneticPr fontId="1"/>
  </si>
  <si>
    <t>流量比(最小吐出圧時)：Vdr</t>
    <rPh sb="0" eb="2">
      <t>リュウリョウ</t>
    </rPh>
    <rPh sb="2" eb="3">
      <t>ヒ</t>
    </rPh>
    <rPh sb="4" eb="6">
      <t>サイショウ</t>
    </rPh>
    <rPh sb="6" eb="8">
      <t>トシュツ</t>
    </rPh>
    <rPh sb="8" eb="9">
      <t>アツ</t>
    </rPh>
    <rPh sb="9" eb="10">
      <t>トキ</t>
    </rPh>
    <phoneticPr fontId="1"/>
  </si>
  <si>
    <t>設計水量 ［㍑/min］：Vpl</t>
    <rPh sb="0" eb="2">
      <t>セッケイ</t>
    </rPh>
    <rPh sb="2" eb="4">
      <t>スイリョウ</t>
    </rPh>
    <phoneticPr fontId="1"/>
  </si>
  <si>
    <t>設計揚程 ［kPa］：Ppl</t>
    <rPh sb="0" eb="2">
      <t>セッケイ</t>
    </rPh>
    <rPh sb="2" eb="3">
      <t>ヨウ</t>
    </rPh>
    <rPh sb="3" eb="4">
      <t>テイ</t>
    </rPh>
    <phoneticPr fontId="1"/>
  </si>
  <si>
    <t>配管特性     指数：n</t>
    <rPh sb="0" eb="2">
      <t>ハイカン</t>
    </rPh>
    <rPh sb="2" eb="4">
      <t>トクセイ</t>
    </rPh>
    <rPh sb="9" eb="11">
      <t>シスウ</t>
    </rPh>
    <phoneticPr fontId="1"/>
  </si>
  <si>
    <t>P=AQ^n+B    係数：A</t>
    <rPh sb="12" eb="14">
      <t>ケイスウ</t>
    </rPh>
    <phoneticPr fontId="1"/>
  </si>
  <si>
    <t>［kPa］        　係数：B</t>
    <rPh sb="14" eb="16">
      <t>ケイスウ</t>
    </rPh>
    <phoneticPr fontId="1"/>
  </si>
  <si>
    <t>定格周波数 ［Hz］：Npl</t>
    <rPh sb="0" eb="2">
      <t>テイカク</t>
    </rPh>
    <rPh sb="2" eb="5">
      <t>シュウハスウ</t>
    </rPh>
    <phoneticPr fontId="1"/>
  </si>
  <si>
    <t>上限周波数 ［Hz］：Nmax</t>
    <rPh sb="0" eb="2">
      <t>ジョウゲン</t>
    </rPh>
    <rPh sb="2" eb="5">
      <t>シュウハスウ</t>
    </rPh>
    <phoneticPr fontId="1"/>
  </si>
  <si>
    <t>下限周波数 ［Hz］：Nmin</t>
    <rPh sb="0" eb="2">
      <t>カゲン</t>
    </rPh>
    <rPh sb="2" eb="5">
      <t>シュウハスウ</t>
    </rPh>
    <phoneticPr fontId="1"/>
  </si>
  <si>
    <t>運転状態　0:停止 1:運転</t>
    <phoneticPr fontId="1"/>
  </si>
  <si>
    <t>運転ﾓｰﾄﾞ　0:停止 1:冷房 2:暖房</t>
    <phoneticPr fontId="1"/>
  </si>
  <si>
    <t xml:space="preserve">流量比(定速，定圧時) </t>
    <rPh sb="0" eb="2">
      <t>リュウリョウ</t>
    </rPh>
    <rPh sb="2" eb="3">
      <t>ヒ</t>
    </rPh>
    <phoneticPr fontId="1"/>
  </si>
  <si>
    <t>←ポンプ特性 属性部へ　</t>
    <phoneticPr fontId="1"/>
  </si>
  <si>
    <t>コピーした後、形式を選択して貼り付けで、値のみを貼り付ける</t>
    <rPh sb="5" eb="6">
      <t>ノチ</t>
    </rPh>
    <rPh sb="7" eb="9">
      <t>ケイシキ</t>
    </rPh>
    <rPh sb="10" eb="12">
      <t>センタク</t>
    </rPh>
    <rPh sb="14" eb="15">
      <t>ハ</t>
    </rPh>
    <rPh sb="16" eb="17">
      <t>ツ</t>
    </rPh>
    <rPh sb="20" eb="21">
      <t>アタイ</t>
    </rPh>
    <rPh sb="24" eb="25">
      <t>ハ</t>
    </rPh>
    <rPh sb="26" eb="27">
      <t>ツ</t>
    </rPh>
    <phoneticPr fontId="1"/>
  </si>
  <si>
    <t>ポンプ負荷率（流量比/周波数比） [-]</t>
    <rPh sb="3" eb="6">
      <t>フカリツ</t>
    </rPh>
    <rPh sb="7" eb="10">
      <t>リュウリョウヒ</t>
    </rPh>
    <rPh sb="11" eb="15">
      <t>シュウハスウヒ</t>
    </rPh>
    <phoneticPr fontId="1"/>
  </si>
  <si>
    <t>係数: d</t>
    <rPh sb="0" eb="2">
      <t>ケイスウ</t>
    </rPh>
    <phoneticPr fontId="1"/>
  </si>
  <si>
    <t>係数: c　　［-］</t>
    <rPh sb="0" eb="2">
      <t>ケイスウ</t>
    </rPh>
    <phoneticPr fontId="1"/>
  </si>
  <si>
    <t>係数: a　　ﾎﾟﾝﾌﾟP-Q特性</t>
    <rPh sb="0" eb="2">
      <t>ケイスウ</t>
    </rPh>
    <phoneticPr fontId="1"/>
  </si>
  <si>
    <t>係数: b　　P=aQ^2+bQ+c</t>
    <rPh sb="0" eb="2">
      <t>ケイスウ</t>
    </rPh>
    <phoneticPr fontId="1"/>
  </si>
  <si>
    <t>ポンプ効率 ［-]：η</t>
    <rPh sb="3" eb="5">
      <t>コウリツ</t>
    </rPh>
    <phoneticPr fontId="1"/>
  </si>
  <si>
    <t>水量［m3/s］</t>
    <rPh sb="0" eb="2">
      <t>スイリョウ</t>
    </rPh>
    <phoneticPr fontId="1"/>
  </si>
  <si>
    <t>水量［m3/s］</t>
    <rPh sb="0" eb="1">
      <t>スイ</t>
    </rPh>
    <rPh sb="1" eb="2">
      <t>リョウ</t>
    </rPh>
    <phoneticPr fontId="1"/>
  </si>
  <si>
    <t>水量［m3/s］</t>
    <rPh sb="0" eb="1">
      <t>ミズ</t>
    </rPh>
    <rPh sb="1" eb="2">
      <t>リョウ</t>
    </rPh>
    <phoneticPr fontId="1"/>
  </si>
  <si>
    <t>設計水量　［㍑/min］</t>
    <rPh sb="0" eb="2">
      <t>セッケイ</t>
    </rPh>
    <rPh sb="2" eb="4">
      <t>スイリョウ</t>
    </rPh>
    <phoneticPr fontId="1"/>
  </si>
  <si>
    <t>水量 ［㍑/min］</t>
    <phoneticPr fontId="1"/>
  </si>
  <si>
    <t>係数: c　　［kPa］</t>
    <rPh sb="0" eb="2">
      <t>ケイスウ</t>
    </rPh>
    <phoneticPr fontId="1"/>
  </si>
  <si>
    <t>係数: b　　η=aQ^3+bQ^2+cQ+d</t>
    <rPh sb="0" eb="2">
      <t>ケイスウ</t>
    </rPh>
    <phoneticPr fontId="1"/>
  </si>
  <si>
    <t>モータ効率（×インバータ効率） e</t>
    <rPh sb="3" eb="5">
      <t>コウリツ</t>
    </rPh>
    <rPh sb="12" eb="14">
      <t>コウリツ</t>
    </rPh>
    <phoneticPr fontId="1"/>
  </si>
  <si>
    <t>設計水量 ［L/min］</t>
    <rPh sb="0" eb="2">
      <t>セッケイ</t>
    </rPh>
    <rPh sb="2" eb="4">
      <t>スイリョウ</t>
    </rPh>
    <phoneticPr fontId="1"/>
  </si>
  <si>
    <t>水量 ［L/min］</t>
    <rPh sb="0" eb="2">
      <t>スイリョウ</t>
    </rPh>
    <phoneticPr fontId="1"/>
  </si>
  <si>
    <t>係数: a　　ポンプ効率特性</t>
    <rPh sb="0" eb="2">
      <t>ケイスウ</t>
    </rPh>
    <rPh sb="12" eb="14">
      <t>トクセイ</t>
    </rPh>
    <phoneticPr fontId="1"/>
  </si>
  <si>
    <t>提供者：Kazuki YAJIMA</t>
    <rPh sb="0" eb="3">
      <t>テイキョウシャ</t>
    </rPh>
    <phoneticPr fontId="17"/>
  </si>
  <si>
    <t>COMs_PCD(EFF)-20251212</t>
    <phoneticPr fontId="1"/>
  </si>
  <si>
    <t>冷却水ポンプ（効率特性）</t>
    <rPh sb="0" eb="1">
      <t>レイ</t>
    </rPh>
    <rPh sb="1" eb="2">
      <t>キャク</t>
    </rPh>
    <rPh sb="2" eb="3">
      <t>ミズ</t>
    </rPh>
    <rPh sb="7" eb="9">
      <t>コウリツ</t>
    </rPh>
    <rPh sb="9" eb="11">
      <t>トクセイ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</si>
</sst>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"/>
    <numFmt numFmtId="177" formatCode="0_ "/>
    <numFmt numFmtId="178" formatCode="0.00_);[Red]\(0.00\)"/>
    <numFmt numFmtId="179" formatCode="0.000"/>
    <numFmt numFmtId="180" formatCode="0.00_ "/>
    <numFmt numFmtId="181" formatCode="0.0_ "/>
    <numFmt numFmtId="182" formatCode="0.000_ "/>
    <numFmt numFmtId="183" formatCode="#,##0_ "/>
    <numFmt numFmtId="184" formatCode="0.0_);[Red]\(0.0\)"/>
    <numFmt numFmtId="185" formatCode="#,##0.0_ "/>
    <numFmt numFmtId="186" formatCode="#,##0.0_);[Red]\(#,##0.0\)"/>
    <numFmt numFmtId="187" formatCode="0_);[Red]\(0\)"/>
    <numFmt numFmtId="188" formatCode="#,##0.00_ "/>
    <numFmt numFmtId="189" formatCode="#,##0_);[Red]\(#,##0\)"/>
    <numFmt numFmtId="190" formatCode="#,##0.00_);[Red]\(#,##0.00\)"/>
    <numFmt numFmtId="191" formatCode="#,##0.0000_ "/>
  </numFmts>
  <fonts count="1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6"/>
      <name val="Meiryo UI"/>
      <family val="2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bgColor indexed="11"/>
      </patternFill>
    </fill>
    <fill>
      <patternFill patternType="solid">
        <fgColor indexed="1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4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2" fontId="4" fillId="0" borderId="23" xfId="0" applyNumberFormat="1" applyFont="1" applyBorder="1" applyAlignment="1" applyProtection="1">
      <alignment horizontal="left" vertical="center"/>
      <protection locked="0"/>
    </xf>
    <xf numFmtId="2" fontId="4" fillId="0" borderId="24" xfId="0" applyNumberFormat="1" applyFont="1" applyBorder="1" applyAlignment="1" applyProtection="1">
      <alignment horizontal="left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2" fontId="4" fillId="0" borderId="0" xfId="0" applyNumberFormat="1" applyFont="1" applyAlignment="1" applyProtection="1">
      <alignment horizontal="center" vertical="center"/>
      <protection locked="0"/>
    </xf>
    <xf numFmtId="2" fontId="4" fillId="0" borderId="0" xfId="0" quotePrefix="1" applyNumberFormat="1" applyFont="1" applyAlignment="1" applyProtection="1">
      <alignment horizontal="center" vertical="center"/>
      <protection locked="0"/>
    </xf>
    <xf numFmtId="2" fontId="4" fillId="0" borderId="17" xfId="0" applyNumberFormat="1" applyFont="1" applyBorder="1" applyAlignment="1" applyProtection="1">
      <alignment horizontal="center" vertical="center" shrinkToFit="1"/>
      <protection locked="0"/>
    </xf>
    <xf numFmtId="2" fontId="4" fillId="0" borderId="18" xfId="0" applyNumberFormat="1" applyFont="1" applyBorder="1" applyAlignment="1" applyProtection="1">
      <alignment horizontal="center" vertical="center" shrinkToFit="1"/>
      <protection locked="0"/>
    </xf>
    <xf numFmtId="2" fontId="4" fillId="0" borderId="29" xfId="0" applyNumberFormat="1" applyFont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2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2" fontId="4" fillId="0" borderId="30" xfId="0" applyNumberFormat="1" applyFont="1" applyBorder="1" applyAlignment="1" applyProtection="1">
      <alignment horizontal="center" vertical="center"/>
      <protection locked="0"/>
    </xf>
    <xf numFmtId="2" fontId="4" fillId="0" borderId="31" xfId="0" applyNumberFormat="1" applyFont="1" applyBorder="1" applyAlignment="1" applyProtection="1">
      <alignment horizontal="center" vertical="center"/>
      <protection locked="0"/>
    </xf>
    <xf numFmtId="2" fontId="4" fillId="0" borderId="18" xfId="0" applyNumberFormat="1" applyFont="1" applyBorder="1" applyAlignment="1" applyProtection="1">
      <alignment horizontal="center" vertical="center"/>
      <protection locked="0"/>
    </xf>
    <xf numFmtId="2" fontId="12" fillId="0" borderId="0" xfId="0" applyNumberFormat="1" applyFont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2" fontId="4" fillId="0" borderId="19" xfId="0" applyNumberFormat="1" applyFont="1" applyBorder="1" applyAlignment="1" applyProtection="1">
      <alignment horizontal="left" vertical="center"/>
      <protection locked="0"/>
    </xf>
    <xf numFmtId="187" fontId="4" fillId="5" borderId="5" xfId="0" applyNumberFormat="1" applyFont="1" applyFill="1" applyBorder="1" applyAlignment="1" applyProtection="1">
      <alignment horizontal="center" vertical="center"/>
      <protection locked="0"/>
    </xf>
    <xf numFmtId="0" fontId="4" fillId="6" borderId="25" xfId="0" applyFont="1" applyFill="1" applyBorder="1" applyAlignment="1" applyProtection="1">
      <alignment horizontal="left" vertical="center"/>
      <protection locked="0"/>
    </xf>
    <xf numFmtId="187" fontId="4" fillId="6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187" fontId="4" fillId="0" borderId="3" xfId="0" applyNumberFormat="1" applyFont="1" applyBorder="1" applyAlignment="1" applyProtection="1">
      <alignment horizontal="center" vertical="center"/>
      <protection locked="0"/>
    </xf>
    <xf numFmtId="190" fontId="12" fillId="0" borderId="0" xfId="0" applyNumberFormat="1" applyFont="1" applyAlignment="1" applyProtection="1">
      <alignment horizontal="center" vertical="center"/>
      <protection locked="0"/>
    </xf>
    <xf numFmtId="2" fontId="4" fillId="0" borderId="0" xfId="0" applyNumberFormat="1" applyFont="1" applyAlignment="1" applyProtection="1">
      <alignment horizontal="left" vertical="center"/>
      <protection locked="0"/>
    </xf>
    <xf numFmtId="187" fontId="4" fillId="0" borderId="5" xfId="0" applyNumberFormat="1" applyFont="1" applyBorder="1" applyAlignment="1" applyProtection="1">
      <alignment horizontal="center" vertical="center"/>
      <protection locked="0"/>
    </xf>
    <xf numFmtId="2" fontId="4" fillId="2" borderId="19" xfId="0" applyNumberFormat="1" applyFont="1" applyFill="1" applyBorder="1" applyAlignment="1" applyProtection="1">
      <alignment horizontal="left" vertical="center"/>
      <protection locked="0"/>
    </xf>
    <xf numFmtId="187" fontId="4" fillId="7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189" fontId="4" fillId="0" borderId="5" xfId="0" applyNumberFormat="1" applyFont="1" applyBorder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184" fontId="5" fillId="5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left" vertical="center"/>
      <protection locked="0"/>
    </xf>
    <xf numFmtId="183" fontId="5" fillId="8" borderId="5" xfId="0" applyNumberFormat="1" applyFont="1" applyFill="1" applyBorder="1" applyAlignment="1" applyProtection="1">
      <alignment horizontal="center" vertical="center"/>
      <protection locked="0"/>
    </xf>
    <xf numFmtId="184" fontId="4" fillId="0" borderId="5" xfId="0" applyNumberFormat="1" applyFont="1" applyBorder="1" applyAlignment="1" applyProtection="1">
      <alignment horizontal="center" vertical="center"/>
      <protection locked="0"/>
    </xf>
    <xf numFmtId="181" fontId="4" fillId="9" borderId="5" xfId="0" applyNumberFormat="1" applyFont="1" applyFill="1" applyBorder="1" applyAlignment="1" applyProtection="1">
      <alignment horizontal="center" vertical="center"/>
      <protection locked="0"/>
    </xf>
    <xf numFmtId="189" fontId="4" fillId="0" borderId="27" xfId="0" applyNumberFormat="1" applyFont="1" applyBorder="1" applyAlignment="1" applyProtection="1">
      <alignment horizontal="center" vertical="center" shrinkToFit="1"/>
      <protection locked="0"/>
    </xf>
    <xf numFmtId="184" fontId="5" fillId="0" borderId="5" xfId="0" applyNumberFormat="1" applyFont="1" applyBorder="1" applyAlignment="1" applyProtection="1">
      <alignment horizontal="center" vertical="center"/>
      <protection locked="0"/>
    </xf>
    <xf numFmtId="181" fontId="4" fillId="7" borderId="5" xfId="0" applyNumberFormat="1" applyFont="1" applyFill="1" applyBorder="1" applyAlignment="1" applyProtection="1">
      <alignment horizontal="center" vertical="center"/>
      <protection locked="0"/>
    </xf>
    <xf numFmtId="189" fontId="4" fillId="0" borderId="5" xfId="0" applyNumberFormat="1" applyFont="1" applyBorder="1" applyAlignment="1" applyProtection="1">
      <alignment horizontal="center" vertical="center" shrinkToFit="1"/>
      <protection locked="0"/>
    </xf>
    <xf numFmtId="2" fontId="4" fillId="0" borderId="7" xfId="0" applyNumberFormat="1" applyFont="1" applyBorder="1" applyAlignment="1" applyProtection="1">
      <alignment horizontal="left" vertical="center"/>
      <protection locked="0"/>
    </xf>
    <xf numFmtId="189" fontId="4" fillId="0" borderId="11" xfId="0" applyNumberFormat="1" applyFont="1" applyBorder="1" applyAlignment="1" applyProtection="1">
      <alignment horizontal="center" vertical="center"/>
      <protection locked="0"/>
    </xf>
    <xf numFmtId="180" fontId="4" fillId="7" borderId="5" xfId="0" applyNumberFormat="1" applyFont="1" applyFill="1" applyBorder="1" applyAlignment="1" applyProtection="1">
      <alignment horizontal="center" vertical="center"/>
      <protection locked="0"/>
    </xf>
    <xf numFmtId="178" fontId="5" fillId="0" borderId="5" xfId="0" applyNumberFormat="1" applyFont="1" applyBorder="1" applyAlignment="1" applyProtection="1">
      <alignment horizontal="center" vertical="center"/>
      <protection locked="0"/>
    </xf>
    <xf numFmtId="190" fontId="13" fillId="0" borderId="0" xfId="0" applyNumberFormat="1" applyFont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left" vertical="center"/>
      <protection locked="0"/>
    </xf>
    <xf numFmtId="181" fontId="4" fillId="10" borderId="11" xfId="0" applyNumberFormat="1" applyFont="1" applyFill="1" applyBorder="1" applyAlignment="1" applyProtection="1">
      <alignment horizontal="center" vertical="center"/>
      <protection locked="0"/>
    </xf>
    <xf numFmtId="178" fontId="4" fillId="0" borderId="5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89" fontId="12" fillId="0" borderId="0" xfId="0" applyNumberFormat="1" applyFont="1" applyAlignment="1" applyProtection="1">
      <alignment horizontal="center" vertical="center"/>
      <protection locked="0"/>
    </xf>
    <xf numFmtId="0" fontId="4" fillId="5" borderId="31" xfId="0" applyFont="1" applyFill="1" applyBorder="1" applyAlignment="1" applyProtection="1">
      <alignment horizontal="center" vertical="center"/>
      <protection locked="0"/>
    </xf>
    <xf numFmtId="0" fontId="4" fillId="5" borderId="37" xfId="0" applyFont="1" applyFill="1" applyBorder="1" applyAlignment="1" applyProtection="1">
      <alignment horizontal="center" vertical="center"/>
      <protection locked="0"/>
    </xf>
    <xf numFmtId="189" fontId="4" fillId="0" borderId="0" xfId="0" applyNumberFormat="1" applyFont="1" applyAlignment="1" applyProtection="1">
      <alignment horizontal="left" vertical="center"/>
      <protection locked="0"/>
    </xf>
    <xf numFmtId="0" fontId="4" fillId="5" borderId="19" xfId="0" applyFont="1" applyFill="1" applyBorder="1" applyAlignment="1" applyProtection="1">
      <alignment horizontal="left" vertical="center"/>
      <protection locked="0"/>
    </xf>
    <xf numFmtId="176" fontId="4" fillId="3" borderId="5" xfId="0" applyNumberFormat="1" applyFont="1" applyFill="1" applyBorder="1" applyAlignment="1" applyProtection="1">
      <alignment horizontal="center" vertical="center"/>
      <protection locked="0"/>
    </xf>
    <xf numFmtId="186" fontId="5" fillId="0" borderId="0" xfId="0" applyNumberFormat="1" applyFont="1" applyAlignment="1" applyProtection="1">
      <alignment horizontal="center" vertical="center"/>
      <protection locked="0"/>
    </xf>
    <xf numFmtId="0" fontId="4" fillId="5" borderId="7" xfId="0" applyFont="1" applyFill="1" applyBorder="1" applyAlignment="1" applyProtection="1">
      <alignment horizontal="left" vertical="center" shrinkToFit="1"/>
      <protection locked="0"/>
    </xf>
    <xf numFmtId="187" fontId="4" fillId="3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190" fontId="5" fillId="5" borderId="11" xfId="0" applyNumberFormat="1" applyFont="1" applyFill="1" applyBorder="1" applyAlignment="1" applyProtection="1">
      <alignment horizontal="center" vertical="center"/>
      <protection locked="0"/>
    </xf>
    <xf numFmtId="190" fontId="5" fillId="0" borderId="0" xfId="0" applyNumberFormat="1" applyFont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183" fontId="4" fillId="4" borderId="3" xfId="0" applyNumberFormat="1" applyFont="1" applyFill="1" applyBorder="1" applyAlignment="1" applyProtection="1">
      <alignment horizontal="center" vertical="center"/>
      <protection locked="0"/>
    </xf>
    <xf numFmtId="0" fontId="4" fillId="4" borderId="25" xfId="0" applyFont="1" applyFill="1" applyBorder="1" applyAlignment="1" applyProtection="1">
      <alignment horizontal="left" vertical="center" shrinkToFit="1"/>
      <protection locked="0"/>
    </xf>
    <xf numFmtId="183" fontId="4" fillId="4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left" vertical="center" shrinkToFit="1"/>
      <protection locked="0"/>
    </xf>
    <xf numFmtId="183" fontId="4" fillId="11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left" vertical="center"/>
      <protection locked="0"/>
    </xf>
    <xf numFmtId="2" fontId="6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left" vertical="center" wrapText="1"/>
      <protection locked="0"/>
    </xf>
    <xf numFmtId="2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182" fontId="4" fillId="11" borderId="5" xfId="0" applyNumberFormat="1" applyFont="1" applyFill="1" applyBorder="1" applyAlignment="1" applyProtection="1">
      <alignment horizontal="center" vertical="center"/>
      <protection locked="0"/>
    </xf>
    <xf numFmtId="181" fontId="4" fillId="11" borderId="5" xfId="0" applyNumberFormat="1" applyFont="1" applyFill="1" applyBorder="1" applyAlignment="1" applyProtection="1">
      <alignment horizontal="center" vertical="center"/>
      <protection locked="0"/>
    </xf>
    <xf numFmtId="181" fontId="4" fillId="0" borderId="0" xfId="0" applyNumberFormat="1" applyFont="1" applyAlignment="1" applyProtection="1">
      <alignment vertical="center"/>
      <protection locked="0"/>
    </xf>
    <xf numFmtId="176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  <xf numFmtId="184" fontId="4" fillId="4" borderId="11" xfId="0" applyNumberFormat="1" applyFont="1" applyFill="1" applyBorder="1" applyAlignment="1" applyProtection="1">
      <alignment horizontal="center" vertical="center"/>
      <protection locked="0"/>
    </xf>
    <xf numFmtId="0" fontId="4" fillId="6" borderId="25" xfId="0" applyFont="1" applyFill="1" applyBorder="1" applyAlignment="1" applyProtection="1">
      <alignment horizontal="left" vertical="center" shrinkToFit="1"/>
      <protection locked="0"/>
    </xf>
    <xf numFmtId="0" fontId="4" fillId="6" borderId="27" xfId="0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left" vertical="center" shrinkToFit="1"/>
      <protection locked="0"/>
    </xf>
    <xf numFmtId="0" fontId="4" fillId="6" borderId="34" xfId="0" applyFont="1" applyFill="1" applyBorder="1" applyAlignment="1" applyProtection="1">
      <alignment horizontal="center" vertical="center"/>
      <protection locked="0"/>
    </xf>
    <xf numFmtId="185" fontId="4" fillId="3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185" fontId="4" fillId="3" borderId="5" xfId="0" applyNumberFormat="1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left" vertical="center"/>
      <protection locked="0"/>
    </xf>
    <xf numFmtId="191" fontId="4" fillId="12" borderId="5" xfId="0" applyNumberFormat="1" applyFont="1" applyFill="1" applyBorder="1" applyAlignment="1" applyProtection="1">
      <alignment horizontal="center" vertical="center"/>
      <protection locked="0"/>
    </xf>
    <xf numFmtId="183" fontId="4" fillId="6" borderId="5" xfId="0" applyNumberFormat="1" applyFont="1" applyFill="1" applyBorder="1" applyAlignment="1" applyProtection="1">
      <alignment horizontal="center" vertical="center"/>
      <protection locked="0"/>
    </xf>
    <xf numFmtId="185" fontId="4" fillId="6" borderId="5" xfId="0" applyNumberFormat="1" applyFont="1" applyFill="1" applyBorder="1" applyAlignment="1" applyProtection="1">
      <alignment horizontal="center" vertical="center"/>
      <protection locked="0"/>
    </xf>
    <xf numFmtId="183" fontId="4" fillId="3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188" fontId="4" fillId="13" borderId="5" xfId="0" applyNumberFormat="1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locked="0"/>
    </xf>
    <xf numFmtId="185" fontId="4" fillId="9" borderId="3" xfId="1" applyNumberFormat="1" applyFont="1" applyFill="1" applyBorder="1" applyAlignment="1" applyProtection="1">
      <alignment horizontal="center" vertical="center"/>
      <protection locked="0"/>
    </xf>
    <xf numFmtId="185" fontId="4" fillId="9" borderId="5" xfId="1" applyNumberFormat="1" applyFont="1" applyFill="1" applyBorder="1" applyAlignment="1" applyProtection="1">
      <alignment horizontal="center" vertical="center"/>
      <protection locked="0"/>
    </xf>
    <xf numFmtId="185" fontId="4" fillId="9" borderId="35" xfId="1" applyNumberFormat="1" applyFont="1" applyFill="1" applyBorder="1" applyAlignment="1" applyProtection="1">
      <alignment horizontal="center" vertical="center"/>
      <protection locked="0"/>
    </xf>
    <xf numFmtId="0" fontId="4" fillId="5" borderId="7" xfId="0" applyFont="1" applyFill="1" applyBorder="1" applyAlignment="1" applyProtection="1">
      <alignment horizontal="left" vertical="center"/>
      <protection locked="0"/>
    </xf>
    <xf numFmtId="185" fontId="4" fillId="9" borderId="11" xfId="1" applyNumberFormat="1" applyFont="1" applyFill="1" applyBorder="1" applyAlignment="1" applyProtection="1">
      <alignment horizontal="center" vertical="center"/>
      <protection locked="0"/>
    </xf>
    <xf numFmtId="185" fontId="4" fillId="5" borderId="5" xfId="0" applyNumberFormat="1" applyFont="1" applyFill="1" applyBorder="1" applyAlignment="1" applyProtection="1">
      <alignment horizontal="center" vertical="center"/>
      <protection locked="0"/>
    </xf>
    <xf numFmtId="185" fontId="4" fillId="5" borderId="11" xfId="0" applyNumberFormat="1" applyFon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2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left" vertical="center" shrinkToFit="1"/>
      <protection locked="0"/>
    </xf>
    <xf numFmtId="2" fontId="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177" fontId="4" fillId="4" borderId="9" xfId="0" applyNumberFormat="1" applyFont="1" applyFill="1" applyBorder="1" applyAlignment="1" applyProtection="1">
      <alignment horizontal="center" vertical="center"/>
      <protection locked="0"/>
    </xf>
    <xf numFmtId="181" fontId="4" fillId="4" borderId="9" xfId="0" applyNumberFormat="1" applyFont="1" applyFill="1" applyBorder="1" applyAlignment="1" applyProtection="1">
      <alignment horizontal="center" vertical="center"/>
      <protection locked="0"/>
    </xf>
    <xf numFmtId="179" fontId="4" fillId="4" borderId="9" xfId="0" applyNumberFormat="1" applyFont="1" applyFill="1" applyBorder="1" applyAlignment="1" applyProtection="1">
      <alignment horizontal="center" vertical="center"/>
      <protection locked="0"/>
    </xf>
    <xf numFmtId="1" fontId="4" fillId="4" borderId="9" xfId="0" applyNumberFormat="1" applyFont="1" applyFill="1" applyBorder="1" applyAlignment="1" applyProtection="1">
      <alignment horizontal="center" vertical="center"/>
      <protection locked="0"/>
    </xf>
    <xf numFmtId="38" fontId="4" fillId="4" borderId="9" xfId="1" applyFont="1" applyFill="1" applyBorder="1" applyAlignment="1" applyProtection="1">
      <alignment horizontal="center" vertical="center"/>
      <protection locked="0"/>
    </xf>
    <xf numFmtId="176" fontId="4" fillId="4" borderId="9" xfId="0" applyNumberFormat="1" applyFont="1" applyFill="1" applyBorder="1" applyAlignment="1" applyProtection="1">
      <alignment horizontal="center" vertical="center"/>
      <protection locked="0"/>
    </xf>
    <xf numFmtId="2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2" fontId="4" fillId="2" borderId="2" xfId="0" applyNumberFormat="1" applyFont="1" applyFill="1" applyBorder="1" applyAlignment="1" applyProtection="1">
      <alignment horizontal="center" vertical="center"/>
      <protection locked="0"/>
    </xf>
    <xf numFmtId="2" fontId="4" fillId="2" borderId="3" xfId="0" applyNumberFormat="1" applyFont="1" applyFill="1" applyBorder="1" applyAlignment="1" applyProtection="1">
      <alignment horizontal="left" vertical="center"/>
      <protection locked="0"/>
    </xf>
    <xf numFmtId="0" fontId="4" fillId="3" borderId="43" xfId="0" applyFont="1" applyFill="1" applyBorder="1" applyAlignment="1" applyProtection="1">
      <alignment horizontal="center" vertical="center"/>
      <protection locked="0"/>
    </xf>
    <xf numFmtId="0" fontId="4" fillId="4" borderId="41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79" fontId="4" fillId="4" borderId="10" xfId="0" applyNumberFormat="1" applyFont="1" applyFill="1" applyBorder="1" applyAlignment="1" applyProtection="1">
      <alignment horizontal="center" vertical="center"/>
      <protection locked="0"/>
    </xf>
    <xf numFmtId="2" fontId="4" fillId="4" borderId="10" xfId="0" applyNumberFormat="1" applyFont="1" applyFill="1" applyBorder="1" applyAlignment="1" applyProtection="1">
      <alignment horizontal="center" vertical="center"/>
      <protection locked="0"/>
    </xf>
    <xf numFmtId="2" fontId="4" fillId="2" borderId="35" xfId="0" applyNumberFormat="1" applyFont="1" applyFill="1" applyBorder="1" applyAlignment="1" applyProtection="1">
      <alignment horizontal="left" vertical="center" wrapText="1"/>
      <protection locked="0"/>
    </xf>
    <xf numFmtId="0" fontId="4" fillId="4" borderId="39" xfId="0" applyFont="1" applyFill="1" applyBorder="1" applyAlignment="1" applyProtection="1">
      <alignment horizontal="center" vertical="center" wrapText="1"/>
      <protection locked="0"/>
    </xf>
    <xf numFmtId="2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0" fontId="4" fillId="3" borderId="44" xfId="0" applyFont="1" applyFill="1" applyBorder="1" applyAlignment="1" applyProtection="1">
      <alignment horizontal="center" vertical="center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2" fontId="4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 applyProtection="1">
      <alignment horizontal="left" vertical="center"/>
      <protection locked="0"/>
    </xf>
    <xf numFmtId="2" fontId="4" fillId="2" borderId="3" xfId="0" applyNumberFormat="1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182" fontId="4" fillId="2" borderId="10" xfId="0" applyNumberFormat="1" applyFont="1" applyFill="1" applyBorder="1" applyAlignment="1" applyProtection="1">
      <alignment horizontal="center" vertical="center"/>
      <protection locked="0"/>
    </xf>
    <xf numFmtId="181" fontId="4" fillId="2" borderId="5" xfId="0" applyNumberFormat="1" applyFont="1" applyFill="1" applyBorder="1" applyAlignment="1" applyProtection="1">
      <alignment horizontal="center" vertical="center"/>
      <protection locked="0"/>
    </xf>
    <xf numFmtId="180" fontId="4" fillId="0" borderId="0" xfId="0" applyNumberFormat="1" applyFont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horizontal="left" vertical="center"/>
      <protection locked="0"/>
    </xf>
    <xf numFmtId="0" fontId="4" fillId="2" borderId="8" xfId="0" applyFont="1" applyFill="1" applyBorder="1" applyAlignment="1" applyProtection="1">
      <alignment horizontal="left" vertical="center"/>
      <protection locked="0"/>
    </xf>
    <xf numFmtId="182" fontId="4" fillId="2" borderId="9" xfId="0" applyNumberFormat="1" applyFont="1" applyFill="1" applyBorder="1" applyAlignment="1" applyProtection="1">
      <alignment horizontal="center" vertical="center"/>
      <protection locked="0"/>
    </xf>
    <xf numFmtId="181" fontId="4" fillId="2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177" fontId="4" fillId="4" borderId="11" xfId="0" applyNumberFormat="1" applyFont="1" applyFill="1" applyBorder="1" applyAlignment="1" applyProtection="1">
      <alignment horizontal="center" vertical="center"/>
      <protection locked="0"/>
    </xf>
    <xf numFmtId="179" fontId="4" fillId="0" borderId="0" xfId="0" applyNumberFormat="1" applyFont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 applyProtection="1">
      <alignment horizontal="left" vertical="center" shrinkToFit="1"/>
      <protection locked="0"/>
    </xf>
    <xf numFmtId="2" fontId="4" fillId="2" borderId="14" xfId="0" applyNumberFormat="1" applyFont="1" applyFill="1" applyBorder="1" applyAlignment="1" applyProtection="1">
      <alignment horizontal="center" vertical="center"/>
      <protection locked="0"/>
    </xf>
    <xf numFmtId="0" fontId="4" fillId="4" borderId="38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179" fontId="4" fillId="4" borderId="2" xfId="0" applyNumberFormat="1" applyFont="1" applyFill="1" applyBorder="1" applyAlignment="1" applyProtection="1">
      <alignment horizontal="center" vertical="center"/>
      <protection locked="0"/>
    </xf>
    <xf numFmtId="1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2" xfId="0" applyNumberFormat="1" applyFont="1" applyFill="1" applyBorder="1" applyAlignment="1" applyProtection="1">
      <alignment horizontal="center" vertical="center"/>
      <protection locked="0"/>
    </xf>
    <xf numFmtId="179" fontId="4" fillId="4" borderId="15" xfId="0" applyNumberFormat="1" applyFont="1" applyFill="1" applyBorder="1" applyAlignment="1" applyProtection="1">
      <alignment horizontal="center" vertical="center"/>
      <protection locked="0"/>
    </xf>
    <xf numFmtId="1" fontId="4" fillId="4" borderId="5" xfId="0" applyNumberFormat="1" applyFont="1" applyFill="1" applyBorder="1" applyAlignment="1" applyProtection="1">
      <alignment horizontal="center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4" fillId="4" borderId="40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179" fontId="4" fillId="4" borderId="16" xfId="0" applyNumberFormat="1" applyFont="1" applyFill="1" applyBorder="1" applyAlignment="1" applyProtection="1">
      <alignment horizontal="center" vertical="center"/>
      <protection locked="0"/>
    </xf>
    <xf numFmtId="1" fontId="4" fillId="4" borderId="11" xfId="0" applyNumberFormat="1" applyFont="1" applyFill="1" applyBorder="1" applyAlignment="1" applyProtection="1">
      <alignment horizontal="center" vertical="center"/>
      <protection locked="0"/>
    </xf>
    <xf numFmtId="2" fontId="4" fillId="4" borderId="2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1" fontId="1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1" fontId="10" fillId="0" borderId="0" xfId="0" applyNumberFormat="1" applyFont="1" applyAlignment="1" applyProtection="1">
      <alignment horizontal="center" vertical="center"/>
      <protection locked="0"/>
    </xf>
    <xf numFmtId="1" fontId="10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9" fillId="0" borderId="0" xfId="0" applyNumberFormat="1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2682668342703"/>
          <c:y val="0.14685339757258928"/>
          <c:w val="0.61157179038759457"/>
          <c:h val="0.63636472281455347"/>
        </c:manualLayout>
      </c:layout>
      <c:scatterChart>
        <c:scatterStyle val="smoothMarker"/>
        <c:varyColors val="0"/>
        <c:ser>
          <c:idx val="2"/>
          <c:order val="0"/>
          <c:tx>
            <c:v>配管系kPa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冷却水ポンプ属性部変更用シート!$G$85:$G$89</c:f>
              <c:numCache>
                <c:formatCode>General</c:formatCode>
                <c:ptCount val="5"/>
                <c:pt idx="0">
                  <c:v>1000</c:v>
                </c:pt>
                <c:pt idx="1">
                  <c:v>1200</c:v>
                </c:pt>
                <c:pt idx="2">
                  <c:v>1600</c:v>
                </c:pt>
                <c:pt idx="3">
                  <c:v>2000</c:v>
                </c:pt>
                <c:pt idx="4">
                  <c:v>2400</c:v>
                </c:pt>
              </c:numCache>
            </c:numRef>
          </c:xVal>
          <c:yVal>
            <c:numRef>
              <c:f>冷却水ポンプ属性部変更用シート!$J$85:$J$89</c:f>
              <c:numCache>
                <c:formatCode>0.00</c:formatCode>
                <c:ptCount val="5"/>
                <c:pt idx="0">
                  <c:v>147</c:v>
                </c:pt>
                <c:pt idx="1">
                  <c:v>168.56</c:v>
                </c:pt>
                <c:pt idx="2">
                  <c:v>223.44000000000003</c:v>
                </c:pt>
                <c:pt idx="3">
                  <c:v>294</c:v>
                </c:pt>
                <c:pt idx="4">
                  <c:v>380.24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BC-4DE2-A33F-D1562E955EB5}"/>
            </c:ext>
          </c:extLst>
        </c:ser>
        <c:ser>
          <c:idx val="1"/>
          <c:order val="1"/>
          <c:tx>
            <c:v>P-Q線図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冷却水ポンプ属性部変更用シート!$G$85:$G$89</c:f>
              <c:numCache>
                <c:formatCode>General</c:formatCode>
                <c:ptCount val="5"/>
                <c:pt idx="0">
                  <c:v>1000</c:v>
                </c:pt>
                <c:pt idx="1">
                  <c:v>1200</c:v>
                </c:pt>
                <c:pt idx="2">
                  <c:v>1600</c:v>
                </c:pt>
                <c:pt idx="3">
                  <c:v>2000</c:v>
                </c:pt>
                <c:pt idx="4">
                  <c:v>2400</c:v>
                </c:pt>
              </c:numCache>
            </c:numRef>
          </c:xVal>
          <c:yVal>
            <c:numRef>
              <c:f>冷却水ポンプ属性部変更用シート!$I$85:$I$89</c:f>
              <c:numCache>
                <c:formatCode>0</c:formatCode>
                <c:ptCount val="5"/>
                <c:pt idx="0">
                  <c:v>340.58247422680415</c:v>
                </c:pt>
                <c:pt idx="1">
                  <c:v>334.19818556701034</c:v>
                </c:pt>
                <c:pt idx="2">
                  <c:v>317.26944329896907</c:v>
                </c:pt>
                <c:pt idx="3">
                  <c:v>294.79381443298973</c:v>
                </c:pt>
                <c:pt idx="4">
                  <c:v>266.77129896907218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BC-4DE2-A33F-D1562E955EB5}"/>
            </c:ext>
          </c:extLst>
        </c:ser>
        <c:ser>
          <c:idx val="3"/>
          <c:order val="2"/>
          <c:tx>
            <c:v>設計仕様</c:v>
          </c:tx>
          <c:spPr>
            <a:ln w="28575">
              <a:noFill/>
            </a:ln>
          </c:spPr>
          <c:marker>
            <c:symbol val="circle"/>
            <c:size val="13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冷却水ポンプ属性部変更用シート!$G$83</c:f>
              <c:numCache>
                <c:formatCode>General</c:formatCode>
                <c:ptCount val="1"/>
                <c:pt idx="0">
                  <c:v>2000</c:v>
                </c:pt>
              </c:numCache>
            </c:numRef>
          </c:xVal>
          <c:yVal>
            <c:numRef>
              <c:f>冷却水ポンプ属性部変更用シート!$J$83</c:f>
              <c:numCache>
                <c:formatCode>0_ </c:formatCode>
                <c:ptCount val="1"/>
                <c:pt idx="0">
                  <c:v>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BC-4DE2-A33F-D1562E955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98184"/>
        <c:axId val="632293480"/>
      </c:scatterChart>
      <c:valAx>
        <c:axId val="63229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 ［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L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/min］</a:t>
                </a:r>
              </a:p>
            </c:rich>
          </c:tx>
          <c:layout>
            <c:manualLayout>
              <c:xMode val="edge"/>
              <c:yMode val="edge"/>
              <c:x val="0.35330661186731505"/>
              <c:y val="0.89510644502770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2293480"/>
        <c:crosses val="autoZero"/>
        <c:crossBetween val="midCat"/>
      </c:valAx>
      <c:valAx>
        <c:axId val="632293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揚程 ［kPa］</a:t>
                </a:r>
              </a:p>
            </c:rich>
          </c:tx>
          <c:layout>
            <c:manualLayout>
              <c:xMode val="edge"/>
              <c:yMode val="edge"/>
              <c:x val="2.6859549533052553E-2"/>
              <c:y val="0.32867173654575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229818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1059621423291086"/>
          <c:y val="0.15384660250801982"/>
          <c:w val="0.26873439269703681"/>
          <c:h val="0.1623940597168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49622211606899"/>
          <c:y val="0.23579553631714431"/>
          <c:w val="0.62603463678189564"/>
          <c:h val="0.57954565552647519"/>
        </c:manualLayout>
      </c:layout>
      <c:scatterChart>
        <c:scatterStyle val="smoothMarker"/>
        <c:varyColors val="0"/>
        <c:ser>
          <c:idx val="2"/>
          <c:order val="0"/>
          <c:tx>
            <c:v>配管系kPa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冷却水ポンプ属性部変更用シート!$I$72:$I$79</c:f>
              <c:numCache>
                <c:formatCode>0.000_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1.3333333333333332E-2</c:v>
                </c:pt>
                <c:pt idx="3">
                  <c:v>0.02</c:v>
                </c:pt>
                <c:pt idx="4">
                  <c:v>2.6666666666666665E-2</c:v>
                </c:pt>
                <c:pt idx="5">
                  <c:v>3.3333333333333333E-2</c:v>
                </c:pt>
                <c:pt idx="6">
                  <c:v>0.04</c:v>
                </c:pt>
                <c:pt idx="7">
                  <c:v>4.6666666666666662E-2</c:v>
                </c:pt>
              </c:numCache>
            </c:numRef>
          </c:xVal>
          <c:yVal>
            <c:numRef>
              <c:f>冷却水ポンプ属性部変更用シート!$J$72:$J$79</c:f>
              <c:numCache>
                <c:formatCode>0.0_ </c:formatCode>
                <c:ptCount val="8"/>
                <c:pt idx="0">
                  <c:v>98</c:v>
                </c:pt>
                <c:pt idx="1">
                  <c:v>98</c:v>
                </c:pt>
                <c:pt idx="2">
                  <c:v>129.35999999999999</c:v>
                </c:pt>
                <c:pt idx="3">
                  <c:v>168.56</c:v>
                </c:pt>
                <c:pt idx="4">
                  <c:v>223.44</c:v>
                </c:pt>
                <c:pt idx="5">
                  <c:v>294</c:v>
                </c:pt>
                <c:pt idx="6">
                  <c:v>380.24</c:v>
                </c:pt>
                <c:pt idx="7">
                  <c:v>482.15999999999991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14-4C4C-889E-9FC79E7D3327}"/>
            </c:ext>
          </c:extLst>
        </c:ser>
        <c:ser>
          <c:idx val="1"/>
          <c:order val="1"/>
          <c:tx>
            <c:v>P-Q線図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dispRSqr val="0"/>
            <c:dispEq val="1"/>
            <c:trendlineLbl>
              <c:layout>
                <c:manualLayout>
                  <c:x val="5.684621256443928E-2"/>
                  <c:y val="-0.39859708352530038"/>
                </c:manualLayout>
              </c:layout>
              <c:numFmt formatCode="General" sourceLinked="0"/>
              <c:spPr>
                <a:noFill/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冷却水ポンプ属性部変更用シート!$I$66:$I$70</c:f>
              <c:numCache>
                <c:formatCode>0.000</c:formatCode>
                <c:ptCount val="5"/>
                <c:pt idx="0">
                  <c:v>0</c:v>
                </c:pt>
                <c:pt idx="1">
                  <c:v>1.6666666666666666E-2</c:v>
                </c:pt>
                <c:pt idx="2">
                  <c:v>2.5000000000000001E-2</c:v>
                </c:pt>
                <c:pt idx="3">
                  <c:v>3.3333333333333333E-2</c:v>
                </c:pt>
                <c:pt idx="4">
                  <c:v>4.1666666666666664E-2</c:v>
                </c:pt>
              </c:numCache>
            </c:numRef>
          </c:xVal>
          <c:yVal>
            <c:numRef>
              <c:f>冷却水ポンプ属性部変更用シート!$J$66:$J$70</c:f>
              <c:numCache>
                <c:formatCode>0.00</c:formatCode>
                <c:ptCount val="5"/>
                <c:pt idx="0">
                  <c:v>351.82</c:v>
                </c:pt>
                <c:pt idx="1">
                  <c:v>340.06000000000006</c:v>
                </c:pt>
                <c:pt idx="2">
                  <c:v>322.42</c:v>
                </c:pt>
                <c:pt idx="3">
                  <c:v>294.98</c:v>
                </c:pt>
                <c:pt idx="4">
                  <c:v>258.72000000000003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14-4C4C-889E-9FC79E7D3327}"/>
            </c:ext>
          </c:extLst>
        </c:ser>
        <c:ser>
          <c:idx val="3"/>
          <c:order val="2"/>
          <c:tx>
            <c:v>設計仕様</c:v>
          </c:tx>
          <c:spPr>
            <a:ln w="28575">
              <a:noFill/>
            </a:ln>
          </c:spPr>
          <c:marker>
            <c:symbol val="circle"/>
            <c:size val="13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冷却水ポンプ属性部変更用シート!$I$64</c:f>
              <c:numCache>
                <c:formatCode>0.000</c:formatCode>
                <c:ptCount val="1"/>
                <c:pt idx="0">
                  <c:v>3.3333333333333333E-2</c:v>
                </c:pt>
              </c:numCache>
            </c:numRef>
          </c:xVal>
          <c:yVal>
            <c:numRef>
              <c:f>冷却水ポンプ属性部変更用シート!$J$64</c:f>
              <c:numCache>
                <c:formatCode>0</c:formatCode>
                <c:ptCount val="1"/>
                <c:pt idx="0">
                  <c:v>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14-4C4C-889E-9FC79E7D3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97400"/>
        <c:axId val="632299360"/>
      </c:scatterChart>
      <c:valAx>
        <c:axId val="63229740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 ［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m3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/s］</a:t>
                </a:r>
              </a:p>
            </c:rich>
          </c:tx>
          <c:layout>
            <c:manualLayout>
              <c:xMode val="edge"/>
              <c:yMode val="edge"/>
              <c:x val="0.36570320182845362"/>
              <c:y val="0.906250218722659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_);[Red]\(#,##0.0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2299360"/>
        <c:crosses val="autoZero"/>
        <c:crossBetween val="midCat"/>
      </c:valAx>
      <c:valAx>
        <c:axId val="6322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揚程 ［kPa］</a:t>
                </a:r>
              </a:p>
            </c:rich>
          </c:tx>
          <c:layout>
            <c:manualLayout>
              <c:xMode val="edge"/>
              <c:yMode val="edge"/>
              <c:x val="1.6529057898770409E-2"/>
              <c:y val="0.414772820064158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2297400"/>
        <c:crosses val="autoZero"/>
        <c:crossBetween val="midCat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6227580079621837"/>
          <c:y val="0.43750131233595801"/>
          <c:w val="0.21705480613372941"/>
          <c:h val="0.131944784679692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80</xdr:row>
      <xdr:rowOff>0</xdr:rowOff>
    </xdr:from>
    <xdr:to>
      <xdr:col>15</xdr:col>
      <xdr:colOff>0</xdr:colOff>
      <xdr:row>93</xdr:row>
      <xdr:rowOff>0</xdr:rowOff>
    </xdr:to>
    <xdr:graphicFrame macro="">
      <xdr:nvGraphicFramePr>
        <xdr:cNvPr id="2" name="Chart 45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64</xdr:row>
      <xdr:rowOff>0</xdr:rowOff>
    </xdr:from>
    <xdr:to>
      <xdr:col>15</xdr:col>
      <xdr:colOff>0</xdr:colOff>
      <xdr:row>79</xdr:row>
      <xdr:rowOff>0</xdr:rowOff>
    </xdr:to>
    <xdr:graphicFrame macro="">
      <xdr:nvGraphicFramePr>
        <xdr:cNvPr id="3" name="Chart 47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1524000</xdr:colOff>
      <xdr:row>4</xdr:row>
      <xdr:rowOff>95250</xdr:rowOff>
    </xdr:from>
    <xdr:to>
      <xdr:col>9</xdr:col>
      <xdr:colOff>1276350</xdr:colOff>
      <xdr:row>8</xdr:row>
      <xdr:rowOff>161925</xdr:rowOff>
    </xdr:to>
    <xdr:grpSp>
      <xdr:nvGrpSpPr>
        <xdr:cNvPr id="4" name="Group 5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/>
        </xdr:cNvGrpSpPr>
      </xdr:nvGrpSpPr>
      <xdr:grpSpPr bwMode="auto">
        <a:xfrm>
          <a:off x="3794760" y="765810"/>
          <a:ext cx="6656070" cy="737235"/>
          <a:chOff x="179" y="82"/>
          <a:chExt cx="700" cy="78"/>
        </a:xfrm>
      </xdr:grpSpPr>
      <xdr:sp macro="" textlink="">
        <xdr:nvSpPr>
          <xdr:cNvPr id="5" name="Text Box 18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9" y="82"/>
            <a:ext cx="110" cy="60"/>
          </a:xfrm>
          <a:prstGeom prst="rect">
            <a:avLst/>
          </a:prstGeom>
          <a:solidFill>
            <a:srgbClr val="CCFFCC"/>
          </a:solidFill>
          <a:ln w="19050">
            <a:solidFill>
              <a:srgbClr val="003300"/>
            </a:solidFill>
            <a:miter lim="800000"/>
            <a:headEnd/>
            <a:tailEnd/>
          </a:ln>
        </xdr:spPr>
        <xdr:txBody>
          <a:bodyPr vertOverflow="clip" wrap="square" lIns="75600" tIns="46800" rIns="0" bIns="4680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吐出圧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周波数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電力消費量</a:t>
            </a:r>
          </a:p>
        </xdr:txBody>
      </xdr:sp>
      <xdr:sp macro="" textlink="">
        <xdr:nvSpPr>
          <xdr:cNvPr id="6" name="Text Box 19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99"/>
            <a:ext cx="79" cy="28"/>
          </a:xfrm>
          <a:prstGeom prst="rect">
            <a:avLst/>
          </a:prstGeom>
          <a:solidFill>
            <a:srgbClr val="CCFFCC"/>
          </a:solidFill>
          <a:ln w="19050">
            <a:solidFill>
              <a:srgbClr val="003300"/>
            </a:solidFill>
            <a:miter lim="800000"/>
            <a:headEnd/>
            <a:tailEnd/>
          </a:ln>
        </xdr:spPr>
        <xdr:txBody>
          <a:bodyPr vertOverflow="clip" wrap="square" lIns="75600" tIns="46800" rIns="90000" bIns="4680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水量</a:t>
            </a:r>
          </a:p>
          <a:p>
            <a:pPr algn="l" rtl="0">
              <a:defRPr sz="1000"/>
            </a:pPr>
            <a:endParaRPr lang="ja-JP" altLang="en-US" sz="1000" b="0" i="0" strike="noStrike">
              <a:solidFill>
                <a:srgbClr val="0033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7" name="Rectangle 20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416" y="99"/>
            <a:ext cx="204" cy="29"/>
          </a:xfrm>
          <a:prstGeom prst="rect">
            <a:avLst/>
          </a:prstGeom>
          <a:solidFill>
            <a:srgbClr val="66FFFF"/>
          </a:solidFill>
          <a:ln w="28575">
            <a:solidFill>
              <a:srgbClr val="000099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冷却水ポンプモデル</a:t>
            </a:r>
          </a:p>
        </xdr:txBody>
      </xdr:sp>
      <xdr:sp macro="" textlink="">
        <xdr:nvSpPr>
          <xdr:cNvPr id="8" name="AutoShape 21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91" y="96"/>
            <a:ext cx="105" cy="36"/>
          </a:xfrm>
          <a:prstGeom prst="rightArrow">
            <a:avLst>
              <a:gd name="adj1" fmla="val 50000"/>
              <a:gd name="adj2" fmla="val 72917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22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642" y="96"/>
            <a:ext cx="106" cy="34"/>
          </a:xfrm>
          <a:prstGeom prst="rightArrow">
            <a:avLst>
              <a:gd name="adj1" fmla="val 50000"/>
              <a:gd name="adj2" fmla="val 7794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Text Box 490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4" y="137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1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入力</a:t>
            </a:r>
          </a:p>
        </xdr:txBody>
      </xdr:sp>
      <xdr:sp macro="" textlink="">
        <xdr:nvSpPr>
          <xdr:cNvPr id="11" name="Text Box 49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6" y="137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1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出力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0.01443</cdr:x>
      <cdr:y>0.01983</cdr:y>
    </cdr:from>
    <cdr:to>
      <cdr:x>0.98557</cdr:x>
      <cdr:y>0.12571</cdr:y>
    </cdr:to>
    <cdr:sp macro="" textlink="">
      <cdr:nvSpPr>
        <cdr:cNvPr id="27341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589020" cy="2893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 = aX2 + bX + c  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c 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を属性データのポンプ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P-Q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に入力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  <pageSetUpPr fitToPage="1"/>
  </sheetPr>
  <dimension ref="A1:R115"/>
  <sheetViews>
    <sheetView tabSelected="1" zoomScaleNormal="100" workbookViewId="0">
      <selection activeCell="D37" sqref="D37"/>
    </sheetView>
  </sheetViews>
  <sheetFormatPr defaultColWidth="9" defaultRowHeight="13.5" customHeight="1" x14ac:dyDescent="0.2"/>
  <cols>
    <col min="1" max="1" width="2.3984375" style="171" customWidth="1"/>
    <col min="2" max="3" width="13.69921875" style="171" customWidth="1"/>
    <col min="4" max="4" width="25.59765625" style="171" customWidth="1"/>
    <col min="5" max="5" width="13.09765625" style="171" customWidth="1"/>
    <col min="6" max="6" width="6.59765625" style="171" customWidth="1"/>
    <col min="7" max="7" width="25.59765625" style="171" customWidth="1"/>
    <col min="8" max="8" width="13.09765625" style="171" customWidth="1"/>
    <col min="9" max="9" width="6.59765625" style="171" customWidth="1"/>
    <col min="10" max="10" width="25.59765625" style="171" customWidth="1"/>
    <col min="11" max="11" width="13.09765625" style="171" customWidth="1"/>
    <col min="12" max="12" width="9" style="171"/>
    <col min="13" max="13" width="17.8984375" style="171" customWidth="1"/>
    <col min="14" max="14" width="12.5" style="171" customWidth="1"/>
    <col min="15" max="16384" width="9" style="171"/>
  </cols>
  <sheetData>
    <row r="1" spans="1:17" s="1" customFormat="1" ht="13.5" customHeight="1" x14ac:dyDescent="0.2">
      <c r="B1" s="180" t="s">
        <v>124</v>
      </c>
    </row>
    <row r="2" spans="1:17" s="1" customFormat="1" ht="13.5" customHeight="1" thickBot="1" x14ac:dyDescent="0.25">
      <c r="Q2" s="2"/>
    </row>
    <row r="3" spans="1:17" s="1" customFormat="1" ht="13.5" customHeight="1" thickBot="1" x14ac:dyDescent="0.25">
      <c r="B3" s="3" t="s">
        <v>3</v>
      </c>
      <c r="Q3" s="2"/>
    </row>
    <row r="4" spans="1:17" s="1" customFormat="1" ht="13.5" customHeight="1" thickBot="1" x14ac:dyDescent="0.25">
      <c r="B4" s="4" t="s">
        <v>4</v>
      </c>
      <c r="C4" s="5">
        <v>0</v>
      </c>
      <c r="Q4" s="2"/>
    </row>
    <row r="5" spans="1:17" s="1" customFormat="1" ht="13.5" customHeight="1" x14ac:dyDescent="0.2">
      <c r="Q5" s="2"/>
    </row>
    <row r="6" spans="1:17" s="1" customFormat="1" ht="13.5" customHeight="1" x14ac:dyDescent="0.2">
      <c r="Q6" s="2"/>
    </row>
    <row r="7" spans="1:17" s="1" customFormat="1" ht="13.5" customHeight="1" x14ac:dyDescent="0.2">
      <c r="Q7" s="2"/>
    </row>
    <row r="8" spans="1:17" s="1" customFormat="1" ht="13.5" customHeight="1" x14ac:dyDescent="0.2">
      <c r="Q8" s="2"/>
    </row>
    <row r="9" spans="1:17" s="1" customFormat="1" ht="13.5" customHeight="1" x14ac:dyDescent="0.2">
      <c r="Q9" s="2"/>
    </row>
    <row r="10" spans="1:17" s="1" customFormat="1" ht="13.5" customHeight="1" x14ac:dyDescent="0.2">
      <c r="Q10" s="2"/>
    </row>
    <row r="11" spans="1:17" s="1" customFormat="1" ht="13.5" customHeight="1" thickBot="1" x14ac:dyDescent="0.25">
      <c r="D11" s="6"/>
      <c r="E11" s="6"/>
      <c r="F11" s="6"/>
      <c r="G11" s="6"/>
      <c r="H11" s="7"/>
      <c r="I11" s="6"/>
      <c r="J11" s="6"/>
      <c r="K11" s="6"/>
      <c r="Q11" s="2"/>
    </row>
    <row r="12" spans="1:17" s="1" customFormat="1" ht="13.5" customHeight="1" thickBot="1" x14ac:dyDescent="0.25">
      <c r="D12" s="8" t="s">
        <v>0</v>
      </c>
      <c r="E12" s="9"/>
      <c r="F12" s="10"/>
      <c r="G12" s="11" t="s">
        <v>126</v>
      </c>
      <c r="H12" s="12" t="s">
        <v>125</v>
      </c>
      <c r="I12" s="13"/>
      <c r="J12" s="14" t="s">
        <v>32</v>
      </c>
      <c r="K12" s="15"/>
      <c r="L12" s="16"/>
      <c r="M12" s="6"/>
      <c r="Q12" s="2"/>
    </row>
    <row r="13" spans="1:17" s="1" customFormat="1" ht="13.5" customHeight="1" thickTop="1" x14ac:dyDescent="0.2">
      <c r="A13" s="17"/>
      <c r="B13" s="17"/>
      <c r="C13" s="17"/>
      <c r="D13" s="18" t="s">
        <v>24</v>
      </c>
      <c r="E13" s="19">
        <v>0</v>
      </c>
      <c r="F13" s="6"/>
      <c r="G13" s="20" t="s">
        <v>16</v>
      </c>
      <c r="H13" s="21">
        <f>+E13+IF(H36="error",1,0)</f>
        <v>0</v>
      </c>
      <c r="I13" s="6"/>
      <c r="J13" s="22" t="s">
        <v>69</v>
      </c>
      <c r="K13" s="23">
        <f>+H13</f>
        <v>0</v>
      </c>
      <c r="L13" s="24"/>
      <c r="M13" s="25"/>
      <c r="Q13" s="2"/>
    </row>
    <row r="14" spans="1:17" s="1" customFormat="1" ht="13.5" customHeight="1" x14ac:dyDescent="0.2">
      <c r="A14" s="17"/>
      <c r="B14" s="17"/>
      <c r="C14" s="17"/>
      <c r="D14" s="18" t="s">
        <v>17</v>
      </c>
      <c r="E14" s="26">
        <f>H14</f>
        <v>1</v>
      </c>
      <c r="F14" s="6"/>
      <c r="G14" s="27" t="s">
        <v>102</v>
      </c>
      <c r="H14" s="28">
        <f>+IF(H15=2,0,K14)</f>
        <v>1</v>
      </c>
      <c r="I14" s="6"/>
      <c r="J14" s="29" t="s">
        <v>70</v>
      </c>
      <c r="K14" s="19">
        <v>1</v>
      </c>
      <c r="L14" s="24"/>
      <c r="M14" s="25"/>
      <c r="Q14" s="2"/>
    </row>
    <row r="15" spans="1:17" s="1" customFormat="1" ht="13.5" customHeight="1" x14ac:dyDescent="0.2">
      <c r="A15" s="17"/>
      <c r="B15" s="17"/>
      <c r="C15" s="17"/>
      <c r="D15" s="18" t="s">
        <v>47</v>
      </c>
      <c r="E15" s="30">
        <f>H16</f>
        <v>1000</v>
      </c>
      <c r="F15" s="6"/>
      <c r="G15" s="27" t="s">
        <v>103</v>
      </c>
      <c r="H15" s="28">
        <f>+K15</f>
        <v>1</v>
      </c>
      <c r="I15" s="6"/>
      <c r="J15" s="29" t="s">
        <v>71</v>
      </c>
      <c r="K15" s="19">
        <v>1</v>
      </c>
      <c r="L15" s="24"/>
      <c r="M15" s="25"/>
      <c r="Q15" s="2"/>
    </row>
    <row r="16" spans="1:17" s="1" customFormat="1" ht="13.5" customHeight="1" x14ac:dyDescent="0.2">
      <c r="A16" s="31"/>
      <c r="B16" s="31"/>
      <c r="C16" s="31"/>
      <c r="D16" s="18" t="s">
        <v>48</v>
      </c>
      <c r="E16" s="32">
        <v>32</v>
      </c>
      <c r="F16" s="6"/>
      <c r="G16" s="33" t="s">
        <v>68</v>
      </c>
      <c r="H16" s="34">
        <f>+IF(H14=0,0,IF(H24=2,H39*H33,IF(OR(H24=1,H24=0),H39*H23,99999)))</f>
        <v>1000</v>
      </c>
      <c r="I16" s="25"/>
      <c r="J16" s="29" t="s">
        <v>72</v>
      </c>
      <c r="K16" s="26">
        <v>1</v>
      </c>
      <c r="L16" s="24"/>
      <c r="M16" s="25"/>
      <c r="Q16" s="2"/>
    </row>
    <row r="17" spans="1:18" s="1" customFormat="1" ht="13.5" customHeight="1" x14ac:dyDescent="0.2">
      <c r="A17" s="6"/>
      <c r="B17" s="6"/>
      <c r="C17" s="6"/>
      <c r="D17" s="18" t="s">
        <v>49</v>
      </c>
      <c r="E17" s="35">
        <f>H18</f>
        <v>25.89</v>
      </c>
      <c r="F17" s="6"/>
      <c r="G17" s="33" t="s">
        <v>52</v>
      </c>
      <c r="H17" s="36">
        <f>+IF($C$4=1,26,H34)</f>
        <v>32.008017912256712</v>
      </c>
      <c r="I17" s="25"/>
      <c r="J17" s="29" t="s">
        <v>73</v>
      </c>
      <c r="K17" s="37">
        <v>527</v>
      </c>
      <c r="L17" s="24"/>
      <c r="M17" s="25"/>
      <c r="Q17" s="2"/>
    </row>
    <row r="18" spans="1:18" s="1" customFormat="1" ht="13.5" customHeight="1" x14ac:dyDescent="0.2">
      <c r="A18" s="31"/>
      <c r="B18" s="31"/>
      <c r="C18" s="31"/>
      <c r="D18" s="18" t="s">
        <v>50</v>
      </c>
      <c r="E18" s="38">
        <v>27</v>
      </c>
      <c r="F18" s="6"/>
      <c r="G18" s="33" t="s">
        <v>53</v>
      </c>
      <c r="H18" s="39">
        <f>+K23</f>
        <v>25.89</v>
      </c>
      <c r="I18" s="6"/>
      <c r="J18" s="29" t="s">
        <v>74</v>
      </c>
      <c r="K18" s="40">
        <v>1179.3991557281147</v>
      </c>
      <c r="L18" s="24"/>
      <c r="M18" s="25"/>
    </row>
    <row r="19" spans="1:18" s="1" customFormat="1" ht="13.5" customHeight="1" thickBot="1" x14ac:dyDescent="0.25">
      <c r="A19" s="17"/>
      <c r="B19" s="17"/>
      <c r="C19" s="17"/>
      <c r="D19" s="41" t="s">
        <v>51</v>
      </c>
      <c r="E19" s="42">
        <v>2550</v>
      </c>
      <c r="F19" s="6"/>
      <c r="G19" s="33" t="s">
        <v>55</v>
      </c>
      <c r="H19" s="43">
        <f>K24</f>
        <v>0.5</v>
      </c>
      <c r="I19" s="6"/>
      <c r="J19" s="29" t="s">
        <v>75</v>
      </c>
      <c r="K19" s="44">
        <v>7</v>
      </c>
      <c r="L19" s="45"/>
      <c r="M19" s="25"/>
      <c r="Q19" s="2"/>
    </row>
    <row r="20" spans="1:18" s="1" customFormat="1" ht="13.5" customHeight="1" thickBot="1" x14ac:dyDescent="0.25">
      <c r="D20" s="25"/>
      <c r="E20" s="6"/>
      <c r="F20" s="6"/>
      <c r="G20" s="46" t="s">
        <v>54</v>
      </c>
      <c r="H20" s="47">
        <f>E16</f>
        <v>32</v>
      </c>
      <c r="I20" s="25"/>
      <c r="J20" s="29" t="s">
        <v>76</v>
      </c>
      <c r="K20" s="48">
        <v>10.7</v>
      </c>
      <c r="L20" s="24"/>
      <c r="M20" s="25"/>
      <c r="Q20" s="6"/>
    </row>
    <row r="21" spans="1:18" s="1" customFormat="1" ht="13.5" customHeight="1" thickBot="1" x14ac:dyDescent="0.25">
      <c r="D21" s="6"/>
      <c r="E21" s="6"/>
      <c r="F21" s="6"/>
      <c r="G21" s="6"/>
      <c r="H21" s="49"/>
      <c r="I21" s="6"/>
      <c r="J21" s="29" t="s">
        <v>77</v>
      </c>
      <c r="K21" s="30">
        <f>+H16</f>
        <v>1000</v>
      </c>
      <c r="L21" s="50"/>
      <c r="M21" s="25"/>
      <c r="Q21" s="25"/>
    </row>
    <row r="22" spans="1:18" s="1" customFormat="1" ht="13.5" customHeight="1" x14ac:dyDescent="0.2">
      <c r="D22" s="6"/>
      <c r="E22" s="6"/>
      <c r="F22" s="6"/>
      <c r="G22" s="51" t="s">
        <v>2</v>
      </c>
      <c r="H22" s="52"/>
      <c r="I22" s="6"/>
      <c r="J22" s="29" t="s">
        <v>78</v>
      </c>
      <c r="K22" s="35">
        <f>+H17</f>
        <v>32.008017912256712</v>
      </c>
      <c r="L22" s="24"/>
      <c r="M22" s="25"/>
      <c r="Q22" s="2"/>
      <c r="R22" s="53"/>
    </row>
    <row r="23" spans="1:18" s="1" customFormat="1" ht="13.5" customHeight="1" x14ac:dyDescent="0.2">
      <c r="D23" s="6"/>
      <c r="E23" s="6"/>
      <c r="F23" s="6"/>
      <c r="G23" s="54" t="s">
        <v>104</v>
      </c>
      <c r="H23" s="55">
        <v>0.5</v>
      </c>
      <c r="I23" s="6"/>
      <c r="J23" s="29" t="s">
        <v>79</v>
      </c>
      <c r="K23" s="32">
        <v>25.89</v>
      </c>
      <c r="L23" s="56"/>
      <c r="M23" s="25"/>
      <c r="Q23" s="2"/>
    </row>
    <row r="24" spans="1:18" s="1" customFormat="1" ht="13.5" customHeight="1" thickBot="1" x14ac:dyDescent="0.25">
      <c r="D24" s="6"/>
      <c r="E24" s="6"/>
      <c r="F24" s="6"/>
      <c r="G24" s="57" t="s">
        <v>33</v>
      </c>
      <c r="H24" s="58">
        <v>2</v>
      </c>
      <c r="I24" s="6"/>
      <c r="J24" s="59" t="s">
        <v>56</v>
      </c>
      <c r="K24" s="60">
        <v>0.5</v>
      </c>
      <c r="L24" s="61"/>
      <c r="Q24" s="25"/>
    </row>
    <row r="25" spans="1:18" s="1" customFormat="1" ht="13.5" customHeight="1" thickBot="1" x14ac:dyDescent="0.25">
      <c r="D25" s="6"/>
      <c r="E25" s="6"/>
      <c r="F25" s="6"/>
      <c r="G25" s="6"/>
      <c r="H25" s="49"/>
      <c r="I25" s="6"/>
      <c r="Q25" s="25"/>
    </row>
    <row r="26" spans="1:18" s="1" customFormat="1" ht="13.5" customHeight="1" x14ac:dyDescent="0.2">
      <c r="D26" s="6"/>
      <c r="E26" s="6"/>
      <c r="F26" s="6"/>
      <c r="G26" s="62" t="s">
        <v>88</v>
      </c>
      <c r="H26" s="63">
        <f>+IF(H24=0,H40,IF(H24=1,H40,IF(H24=2,H44*(H16/60/1000)^(H43)+H45,99999)))</f>
        <v>147</v>
      </c>
      <c r="I26" s="6"/>
      <c r="Q26" s="2"/>
    </row>
    <row r="27" spans="1:18" s="1" customFormat="1" ht="13.5" customHeight="1" x14ac:dyDescent="0.2">
      <c r="D27" s="6"/>
      <c r="E27" s="6"/>
      <c r="F27" s="6"/>
      <c r="G27" s="64" t="s">
        <v>89</v>
      </c>
      <c r="H27" s="65">
        <f>+IF(H24=0,H46,IF(OR(H24=1,H24=2), (-H55*H16/60/1000+( (H55*H16/60/1000)^2-4*H56* (H54*(H16/60/1000)^2-H26) )^0.5) /2/H56*H46,99999))</f>
        <v>33.739110045021107</v>
      </c>
      <c r="Q27" s="25"/>
    </row>
    <row r="28" spans="1:18" s="1" customFormat="1" ht="13.5" customHeight="1" x14ac:dyDescent="0.2">
      <c r="F28" s="6"/>
      <c r="G28" s="66" t="s">
        <v>90</v>
      </c>
      <c r="H28" s="67">
        <f>+IF(H14=0,0,IF(H27&gt;H47,99999,MAX(H48,MIN(H47,H27))))</f>
        <v>33.739110045021107</v>
      </c>
      <c r="I28" s="6"/>
      <c r="Q28" s="25"/>
    </row>
    <row r="29" spans="1:18" s="1" customFormat="1" ht="13.5" customHeight="1" x14ac:dyDescent="0.2">
      <c r="F29" s="6"/>
      <c r="G29" s="68" t="s">
        <v>91</v>
      </c>
      <c r="H29" s="67">
        <f>+IF(H14=0,0,IF(H24=0,H54*(H16/60/1000)^2+H55*H16/60/1000+H56,IF(H24=1,IF(H27&gt;=H28,H40,H54*(H16/60/1000)^2+H28/H46*H55*H16/60/1000+(H28/H46)^2*H56),IF(H27&gt;=H28,H26,H54*(H16/60/1000)^2+H28/H46*H55*H16/60/1000+(H28/H46)^2*H56))))</f>
        <v>147</v>
      </c>
      <c r="I29" s="69"/>
      <c r="N29" s="70"/>
      <c r="O29" s="70"/>
      <c r="Q29" s="25"/>
    </row>
    <row r="30" spans="1:18" s="1" customFormat="1" ht="13.5" customHeight="1" x14ac:dyDescent="0.2">
      <c r="F30" s="6"/>
      <c r="G30" s="71" t="s">
        <v>107</v>
      </c>
      <c r="H30" s="72">
        <f>(H16/H39)/(H28/H46)</f>
        <v>0.74097982924387351</v>
      </c>
      <c r="I30" s="69"/>
      <c r="N30" s="70"/>
      <c r="O30" s="70"/>
      <c r="Q30" s="25"/>
    </row>
    <row r="31" spans="1:18" s="1" customFormat="1" ht="13.5" customHeight="1" x14ac:dyDescent="0.2">
      <c r="F31" s="6"/>
      <c r="G31" s="68" t="s">
        <v>112</v>
      </c>
      <c r="H31" s="73">
        <f>IF(H14=0,H50*(H39/60/1000)^3+H51*(H39/60/1000)^2+H52*H39/60/1000+H53,H50*(H39/60/1000*H30)^3+H51*(H39/60/1000*H30)^2+H52*H39/60/1000*H30+H53)</f>
        <v>0.70872717571113231</v>
      </c>
      <c r="I31" s="69"/>
      <c r="N31" s="70"/>
      <c r="O31" s="70"/>
      <c r="Q31" s="25"/>
    </row>
    <row r="32" spans="1:18" s="1" customFormat="1" ht="13.5" customHeight="1" x14ac:dyDescent="0.2">
      <c r="F32" s="6"/>
      <c r="G32" s="68" t="s">
        <v>92</v>
      </c>
      <c r="H32" s="74">
        <f>IF(H14=0,0,H57*(H16*H29/60000/H31/H49)+H58)</f>
        <v>3.841001608962944</v>
      </c>
      <c r="I32" s="6"/>
      <c r="N32" s="70"/>
      <c r="O32" s="70"/>
      <c r="Q32" s="25"/>
    </row>
    <row r="33" spans="5:18" s="1" customFormat="1" ht="13.5" customHeight="1" x14ac:dyDescent="0.2">
      <c r="E33" s="75"/>
      <c r="F33" s="6"/>
      <c r="G33" s="71" t="s">
        <v>93</v>
      </c>
      <c r="H33" s="76">
        <f>MIN(MAX(H19,H23),1)</f>
        <v>0.5</v>
      </c>
      <c r="I33" s="6"/>
      <c r="N33" s="70"/>
      <c r="O33" s="70"/>
      <c r="Q33" s="25"/>
    </row>
    <row r="34" spans="5:18" s="1" customFormat="1" ht="13.5" customHeight="1" thickBot="1" x14ac:dyDescent="0.25">
      <c r="F34" s="6"/>
      <c r="G34" s="77" t="s">
        <v>57</v>
      </c>
      <c r="H34" s="78">
        <f>IF(OR(H14=0,H15=0),H20,H20+H42)</f>
        <v>32.008017912256712</v>
      </c>
      <c r="I34" s="6"/>
      <c r="K34" s="70"/>
      <c r="N34" s="70"/>
      <c r="O34" s="70"/>
      <c r="Q34" s="70"/>
    </row>
    <row r="35" spans="5:18" s="1" customFormat="1" ht="13.5" customHeight="1" x14ac:dyDescent="0.2">
      <c r="F35" s="6"/>
      <c r="G35" s="79" t="s">
        <v>34</v>
      </c>
      <c r="H35" s="80">
        <f>IF($C$4=1,0,+IF(H14=0,0,IF((H26-H29)&gt;0.01,20,0)+IF(H26=99999,10,0)+IF(H28=99999,2,0)))</f>
        <v>0</v>
      </c>
      <c r="I35" s="6"/>
      <c r="J35" s="6"/>
      <c r="K35" s="70"/>
      <c r="N35" s="70"/>
      <c r="O35" s="70"/>
      <c r="Q35" s="70"/>
    </row>
    <row r="36" spans="5:18" s="1" customFormat="1" ht="13.5" customHeight="1" thickBot="1" x14ac:dyDescent="0.25">
      <c r="F36" s="6"/>
      <c r="G36" s="81" t="s">
        <v>31</v>
      </c>
      <c r="H36" s="82" t="str">
        <f>IF(ISERR(FIND(2,H35))=TRUE,IF(ISERR(FIND(1,H35))=TRUE,"good","warrning"),"error")</f>
        <v>good</v>
      </c>
      <c r="I36" s="25"/>
      <c r="K36" s="70"/>
      <c r="N36" s="70"/>
      <c r="O36" s="70"/>
      <c r="Q36" s="70"/>
    </row>
    <row r="37" spans="5:18" s="1" customFormat="1" ht="13.5" customHeight="1" thickBot="1" x14ac:dyDescent="0.25">
      <c r="F37" s="6"/>
      <c r="G37" s="6"/>
      <c r="H37" s="49"/>
      <c r="I37" s="6"/>
      <c r="J37" s="6"/>
      <c r="K37" s="70"/>
      <c r="N37" s="70"/>
      <c r="O37" s="70"/>
      <c r="Q37" s="70"/>
    </row>
    <row r="38" spans="5:18" s="1" customFormat="1" ht="13.5" customHeight="1" x14ac:dyDescent="0.2">
      <c r="F38" s="6"/>
      <c r="G38" s="51" t="s">
        <v>5</v>
      </c>
      <c r="H38" s="52"/>
      <c r="I38" s="6"/>
      <c r="J38" s="6"/>
      <c r="K38" s="70"/>
      <c r="N38" s="70"/>
      <c r="O38" s="70"/>
      <c r="Q38" s="2"/>
      <c r="R38" s="2"/>
    </row>
    <row r="39" spans="5:18" s="1" customFormat="1" ht="13.5" customHeight="1" x14ac:dyDescent="0.2">
      <c r="F39" s="6"/>
      <c r="G39" s="54" t="s">
        <v>94</v>
      </c>
      <c r="H39" s="83">
        <v>2000</v>
      </c>
      <c r="I39" s="6"/>
      <c r="J39" s="2"/>
      <c r="K39" s="70"/>
      <c r="N39" s="84"/>
      <c r="O39" s="70"/>
      <c r="R39" s="2"/>
    </row>
    <row r="40" spans="5:18" s="1" customFormat="1" ht="13.5" customHeight="1" x14ac:dyDescent="0.2">
      <c r="F40" s="6"/>
      <c r="G40" s="54" t="s">
        <v>95</v>
      </c>
      <c r="H40" s="85">
        <v>294</v>
      </c>
      <c r="I40" s="6"/>
      <c r="J40" s="2"/>
      <c r="K40" s="70"/>
      <c r="N40" s="84"/>
      <c r="O40" s="70"/>
      <c r="R40" s="2"/>
    </row>
    <row r="41" spans="5:18" s="1" customFormat="1" ht="13.5" customHeight="1" x14ac:dyDescent="0.2">
      <c r="F41" s="6"/>
      <c r="G41" s="54" t="s">
        <v>58</v>
      </c>
      <c r="H41" s="85">
        <v>98</v>
      </c>
      <c r="I41" s="6"/>
      <c r="J41" s="2"/>
      <c r="K41" s="70"/>
      <c r="N41" s="84"/>
      <c r="O41" s="70"/>
      <c r="Q41" s="2"/>
      <c r="R41" s="2"/>
    </row>
    <row r="42" spans="5:18" s="1" customFormat="1" ht="13.5" customHeight="1" x14ac:dyDescent="0.2">
      <c r="F42" s="6"/>
      <c r="G42" s="86" t="s">
        <v>59</v>
      </c>
      <c r="H42" s="87">
        <f>(1-H31)*H32/2/(H16/60*4.18605)</f>
        <v>8.0179122567149586E-3</v>
      </c>
      <c r="I42" s="25"/>
      <c r="J42" s="2"/>
      <c r="K42" s="70"/>
      <c r="N42" s="70"/>
      <c r="O42" s="70"/>
      <c r="Q42" s="2"/>
    </row>
    <row r="43" spans="5:18" s="1" customFormat="1" ht="13.5" customHeight="1" x14ac:dyDescent="0.2">
      <c r="F43" s="6"/>
      <c r="G43" s="54" t="s">
        <v>96</v>
      </c>
      <c r="H43" s="88">
        <v>2</v>
      </c>
      <c r="I43" s="6"/>
      <c r="J43" s="2"/>
      <c r="K43" s="70"/>
      <c r="N43" s="70"/>
      <c r="O43" s="70"/>
    </row>
    <row r="44" spans="5:18" s="1" customFormat="1" ht="13.5" customHeight="1" x14ac:dyDescent="0.2">
      <c r="F44" s="6"/>
      <c r="G44" s="54" t="s">
        <v>97</v>
      </c>
      <c r="H44" s="89">
        <f>(H40-H41)/(H39/60/1000)^H43</f>
        <v>176400</v>
      </c>
      <c r="I44" s="6"/>
      <c r="J44" s="2"/>
      <c r="K44" s="70"/>
      <c r="N44" s="70"/>
      <c r="O44" s="70"/>
    </row>
    <row r="45" spans="5:18" s="1" customFormat="1" ht="13.5" customHeight="1" x14ac:dyDescent="0.2">
      <c r="F45" s="6"/>
      <c r="G45" s="54" t="s">
        <v>98</v>
      </c>
      <c r="H45" s="89">
        <f>H41</f>
        <v>98</v>
      </c>
      <c r="I45" s="6"/>
      <c r="J45" s="2"/>
      <c r="K45" s="70"/>
      <c r="N45" s="70"/>
      <c r="O45" s="70"/>
    </row>
    <row r="46" spans="5:18" s="1" customFormat="1" ht="13.5" customHeight="1" x14ac:dyDescent="0.2">
      <c r="F46" s="6"/>
      <c r="G46" s="54" t="s">
        <v>99</v>
      </c>
      <c r="H46" s="90">
        <v>50</v>
      </c>
      <c r="I46" s="6"/>
      <c r="J46" s="2"/>
      <c r="K46" s="70"/>
      <c r="M46" s="1" t="s">
        <v>105</v>
      </c>
      <c r="N46" s="91"/>
      <c r="O46" s="70"/>
    </row>
    <row r="47" spans="5:18" s="1" customFormat="1" ht="13.5" customHeight="1" x14ac:dyDescent="0.2">
      <c r="G47" s="54" t="s">
        <v>100</v>
      </c>
      <c r="H47" s="90">
        <v>60</v>
      </c>
      <c r="J47" s="2"/>
      <c r="K47" s="70"/>
      <c r="M47" s="1" t="s">
        <v>106</v>
      </c>
      <c r="N47" s="91"/>
      <c r="O47" s="70"/>
    </row>
    <row r="48" spans="5:18" s="1" customFormat="1" ht="13.5" customHeight="1" x14ac:dyDescent="0.2">
      <c r="G48" s="54" t="s">
        <v>101</v>
      </c>
      <c r="H48" s="90">
        <v>25</v>
      </c>
      <c r="J48" s="2"/>
      <c r="K48" s="70"/>
      <c r="M48" s="92" t="str">
        <f>IF(ISERROR(SUM(H50:H56)),"※正しくコピーアンドペースト出来ていません。",IF(SUM(H50:H56)&lt;&gt;SUM(N50:N56),"※オブジェクト属性部が作成した属性部と違います。値をコピーアンドペーストしてください。",
"※現在はオブジェクト属性部へ正しくコピーされています。"))</f>
        <v>※現在はオブジェクト属性部へ正しくコピーされています。</v>
      </c>
      <c r="N48" s="91"/>
      <c r="O48" s="70"/>
    </row>
    <row r="49" spans="5:15" s="1" customFormat="1" ht="13.5" customHeight="1" thickBot="1" x14ac:dyDescent="0.25">
      <c r="G49" s="54" t="s">
        <v>120</v>
      </c>
      <c r="H49" s="93">
        <v>0.9</v>
      </c>
      <c r="J49" s="2"/>
      <c r="K49" s="70"/>
      <c r="M49" s="91"/>
      <c r="N49" s="91"/>
      <c r="O49" s="70"/>
    </row>
    <row r="50" spans="5:15" s="1" customFormat="1" ht="13.5" customHeight="1" x14ac:dyDescent="0.2">
      <c r="G50" s="54" t="s">
        <v>123</v>
      </c>
      <c r="H50" s="83">
        <v>11851.47169811319</v>
      </c>
      <c r="I50" s="6"/>
      <c r="J50" s="2"/>
      <c r="K50" s="70"/>
      <c r="M50" s="94" t="s">
        <v>123</v>
      </c>
      <c r="N50" s="95">
        <f>INDEX(LINEST(D66:D70,I66:I70^{1,2,3}),1)</f>
        <v>11851.47169811319</v>
      </c>
      <c r="O50" s="70"/>
    </row>
    <row r="51" spans="5:15" s="1" customFormat="1" ht="13.5" customHeight="1" x14ac:dyDescent="0.2">
      <c r="G51" s="54" t="s">
        <v>119</v>
      </c>
      <c r="H51" s="83">
        <v>-1425.0371967654974</v>
      </c>
      <c r="I51" s="6"/>
      <c r="J51" s="2"/>
      <c r="K51" s="70"/>
      <c r="M51" s="54" t="s">
        <v>119</v>
      </c>
      <c r="N51" s="96">
        <f>INDEX(LINEST(D66:D70,I66:I70^{1,2,3}),2)</f>
        <v>-1425.0371967654974</v>
      </c>
      <c r="O51" s="70"/>
    </row>
    <row r="52" spans="5:15" s="1" customFormat="1" ht="13.5" customHeight="1" x14ac:dyDescent="0.2">
      <c r="G52" s="54" t="s">
        <v>109</v>
      </c>
      <c r="H52" s="83">
        <v>56.651320754716942</v>
      </c>
      <c r="I52" s="6"/>
      <c r="J52" s="2"/>
      <c r="K52" s="70"/>
      <c r="M52" s="54" t="s">
        <v>109</v>
      </c>
      <c r="N52" s="97">
        <f>INDEX(LINEST(D66:D70,I66:I70^{1,2,3}),3)</f>
        <v>56.651320754716942</v>
      </c>
      <c r="O52" s="70"/>
    </row>
    <row r="53" spans="5:15" s="1" customFormat="1" ht="13.5" customHeight="1" x14ac:dyDescent="0.2">
      <c r="G53" s="54" t="s">
        <v>108</v>
      </c>
      <c r="H53" s="83">
        <v>2.5336927223762462E-4</v>
      </c>
      <c r="I53" s="6"/>
      <c r="J53" s="2"/>
      <c r="K53" s="70"/>
      <c r="M53" s="54" t="s">
        <v>108</v>
      </c>
      <c r="N53" s="97">
        <f>INDEX(LINEST(D66:D70,I66:I70^{1,2,3}),4)</f>
        <v>2.5336927223762462E-4</v>
      </c>
      <c r="O53" s="70"/>
    </row>
    <row r="54" spans="5:15" s="1" customFormat="1" ht="13.5" customHeight="1" x14ac:dyDescent="0.2">
      <c r="G54" s="54" t="s">
        <v>110</v>
      </c>
      <c r="H54" s="83">
        <v>-62402.474226804188</v>
      </c>
      <c r="J54" s="2"/>
      <c r="K54" s="70"/>
      <c r="M54" s="54" t="s">
        <v>110</v>
      </c>
      <c r="N54" s="96">
        <f>INDEX(LINEST(J66:J70,I66:I70^{1,2}),1)</f>
        <v>-62402.474226804188</v>
      </c>
      <c r="O54" s="70"/>
    </row>
    <row r="55" spans="5:15" s="1" customFormat="1" ht="13.5" customHeight="1" x14ac:dyDescent="0.2">
      <c r="G55" s="54" t="s">
        <v>111</v>
      </c>
      <c r="H55" s="83">
        <v>372.80412371134281</v>
      </c>
      <c r="J55" s="2"/>
      <c r="M55" s="54" t="s">
        <v>111</v>
      </c>
      <c r="N55" s="96">
        <f>INDEX(LINEST(J66:J70,I66:I70^{1,2}),2)</f>
        <v>372.80412371134281</v>
      </c>
      <c r="O55" s="70"/>
    </row>
    <row r="56" spans="5:15" s="1" customFormat="1" ht="13.5" customHeight="1" thickBot="1" x14ac:dyDescent="0.25">
      <c r="G56" s="54" t="s">
        <v>118</v>
      </c>
      <c r="H56" s="83">
        <v>351.70309278350516</v>
      </c>
      <c r="J56" s="2"/>
      <c r="M56" s="98" t="s">
        <v>118</v>
      </c>
      <c r="N56" s="99">
        <f>INDEX(LINEST(J66:J70,I66:I70^{1,2}),3)</f>
        <v>351.70309278350516</v>
      </c>
      <c r="O56" s="70"/>
    </row>
    <row r="57" spans="5:15" s="1" customFormat="1" ht="13.5" customHeight="1" x14ac:dyDescent="0.2">
      <c r="G57" s="54" t="s">
        <v>14</v>
      </c>
      <c r="H57" s="100">
        <v>1</v>
      </c>
      <c r="J57" s="2"/>
      <c r="O57" s="70"/>
    </row>
    <row r="58" spans="5:15" s="1" customFormat="1" ht="13.5" customHeight="1" thickBot="1" x14ac:dyDescent="0.25">
      <c r="G58" s="98" t="s">
        <v>15</v>
      </c>
      <c r="H58" s="101">
        <v>0</v>
      </c>
      <c r="J58" s="2"/>
      <c r="O58" s="70"/>
    </row>
    <row r="59" spans="5:15" s="1" customFormat="1" ht="13.5" customHeight="1" x14ac:dyDescent="0.2"/>
    <row r="60" spans="5:15" s="1" customFormat="1" ht="13.5" customHeight="1" x14ac:dyDescent="0.2"/>
    <row r="61" spans="5:15" s="1" customFormat="1" ht="13.5" customHeight="1" x14ac:dyDescent="0.2"/>
    <row r="62" spans="5:15" s="1" customFormat="1" ht="13.5" customHeight="1" thickBot="1" x14ac:dyDescent="0.25">
      <c r="E62" s="1" t="s">
        <v>20</v>
      </c>
      <c r="H62" s="6"/>
      <c r="J62" s="102" t="s">
        <v>13</v>
      </c>
    </row>
    <row r="63" spans="5:15" s="1" customFormat="1" ht="13.5" customHeight="1" x14ac:dyDescent="0.2">
      <c r="E63" s="103" t="s">
        <v>6</v>
      </c>
      <c r="F63" s="104" t="s">
        <v>60</v>
      </c>
      <c r="G63" s="105" t="s">
        <v>116</v>
      </c>
      <c r="H63" s="104" t="s">
        <v>67</v>
      </c>
      <c r="I63" s="106" t="s">
        <v>114</v>
      </c>
      <c r="J63" s="104" t="s">
        <v>65</v>
      </c>
      <c r="K63" s="105" t="s">
        <v>21</v>
      </c>
      <c r="L63" s="105" t="s">
        <v>22</v>
      </c>
      <c r="M63" s="107" t="s">
        <v>7</v>
      </c>
    </row>
    <row r="64" spans="5:15" s="1" customFormat="1" ht="13.5" customHeight="1" thickBot="1" x14ac:dyDescent="0.25">
      <c r="E64" s="108" t="s">
        <v>8</v>
      </c>
      <c r="F64" s="109">
        <f>H41</f>
        <v>98</v>
      </c>
      <c r="G64" s="110">
        <f>+H39</f>
        <v>2000</v>
      </c>
      <c r="H64" s="111">
        <f>+(H40-H41)</f>
        <v>196</v>
      </c>
      <c r="I64" s="112">
        <f>+G64/60/1000</f>
        <v>3.3333333333333333E-2</v>
      </c>
      <c r="J64" s="113">
        <f>+(F64+H64)</f>
        <v>294</v>
      </c>
      <c r="K64" s="114">
        <f>+H64/I64^H43</f>
        <v>176400</v>
      </c>
      <c r="L64" s="115">
        <f>+F64</f>
        <v>98</v>
      </c>
      <c r="M64" s="116" t="s">
        <v>23</v>
      </c>
    </row>
    <row r="65" spans="4:11" s="1" customFormat="1" ht="13.5" customHeight="1" x14ac:dyDescent="0.2">
      <c r="D65" s="117" t="s">
        <v>1</v>
      </c>
      <c r="E65" s="118" t="s">
        <v>9</v>
      </c>
      <c r="F65" s="119" t="s">
        <v>10</v>
      </c>
      <c r="G65" s="119" t="s">
        <v>117</v>
      </c>
      <c r="H65" s="120" t="s">
        <v>61</v>
      </c>
      <c r="I65" s="106" t="s">
        <v>113</v>
      </c>
      <c r="J65" s="120" t="s">
        <v>80</v>
      </c>
      <c r="K65" s="121"/>
    </row>
    <row r="66" spans="4:11" s="1" customFormat="1" ht="13.5" customHeight="1" x14ac:dyDescent="0.2">
      <c r="D66" s="122">
        <v>0</v>
      </c>
      <c r="E66" s="123" t="s">
        <v>11</v>
      </c>
      <c r="F66" s="124" t="s">
        <v>25</v>
      </c>
      <c r="G66" s="125">
        <v>0</v>
      </c>
      <c r="H66" s="125">
        <v>35.9</v>
      </c>
      <c r="I66" s="126">
        <f>+G66/60/1000</f>
        <v>0</v>
      </c>
      <c r="J66" s="127">
        <f>+H66*9.8</f>
        <v>351.82</v>
      </c>
      <c r="K66" s="128" t="s">
        <v>12</v>
      </c>
    </row>
    <row r="67" spans="4:11" s="1" customFormat="1" ht="13.5" customHeight="1" x14ac:dyDescent="0.2">
      <c r="D67" s="122">
        <v>0.60599999999999998</v>
      </c>
      <c r="E67" s="129"/>
      <c r="F67" s="124">
        <v>2</v>
      </c>
      <c r="G67" s="125">
        <v>1000</v>
      </c>
      <c r="H67" s="125">
        <v>34.700000000000003</v>
      </c>
      <c r="I67" s="126">
        <f t="shared" ref="I67:I70" si="0">+G67/60/1000</f>
        <v>1.6666666666666666E-2</v>
      </c>
      <c r="J67" s="127">
        <f>+H67*9.8</f>
        <v>340.06000000000006</v>
      </c>
      <c r="K67" s="130"/>
    </row>
    <row r="68" spans="4:11" s="1" customFormat="1" ht="13.5" customHeight="1" x14ac:dyDescent="0.2">
      <c r="D68" s="122">
        <v>0.70599999999999996</v>
      </c>
      <c r="E68" s="129"/>
      <c r="F68" s="124">
        <v>3</v>
      </c>
      <c r="G68" s="125">
        <v>1500</v>
      </c>
      <c r="H68" s="125">
        <v>32.9</v>
      </c>
      <c r="I68" s="126">
        <f t="shared" si="0"/>
        <v>2.5000000000000001E-2</v>
      </c>
      <c r="J68" s="127">
        <f>+H68*9.8</f>
        <v>322.42</v>
      </c>
      <c r="K68" s="130"/>
    </row>
    <row r="69" spans="4:11" s="1" customFormat="1" ht="13.5" customHeight="1" x14ac:dyDescent="0.2">
      <c r="D69" s="122">
        <v>0.748</v>
      </c>
      <c r="E69" s="129"/>
      <c r="F69" s="124">
        <v>4</v>
      </c>
      <c r="G69" s="125">
        <v>2000</v>
      </c>
      <c r="H69" s="125">
        <v>30.1</v>
      </c>
      <c r="I69" s="126">
        <f t="shared" si="0"/>
        <v>3.3333333333333333E-2</v>
      </c>
      <c r="J69" s="127">
        <f>+H69*9.8</f>
        <v>294.98</v>
      </c>
      <c r="K69" s="130"/>
    </row>
    <row r="70" spans="4:11" s="1" customFormat="1" ht="13.5" customHeight="1" thickBot="1" x14ac:dyDescent="0.25">
      <c r="D70" s="131">
        <v>0.74299999999999999</v>
      </c>
      <c r="E70" s="132"/>
      <c r="F70" s="124" t="s">
        <v>81</v>
      </c>
      <c r="G70" s="125">
        <v>2500</v>
      </c>
      <c r="H70" s="125">
        <v>26.400000000000002</v>
      </c>
      <c r="I70" s="126">
        <f t="shared" si="0"/>
        <v>4.1666666666666664E-2</v>
      </c>
      <c r="J70" s="127">
        <f>+H70*9.8</f>
        <v>258.72000000000003</v>
      </c>
      <c r="K70" s="133"/>
    </row>
    <row r="71" spans="4:11" s="1" customFormat="1" ht="13.5" customHeight="1" x14ac:dyDescent="0.2">
      <c r="E71" s="134" t="s">
        <v>29</v>
      </c>
      <c r="F71" s="135"/>
      <c r="G71" s="135"/>
      <c r="H71" s="135"/>
      <c r="I71" s="106" t="s">
        <v>114</v>
      </c>
      <c r="J71" s="136" t="s">
        <v>66</v>
      </c>
      <c r="K71" s="25"/>
    </row>
    <row r="72" spans="4:11" s="1" customFormat="1" ht="13.5" customHeight="1" x14ac:dyDescent="0.2">
      <c r="E72" s="137"/>
      <c r="F72" s="138"/>
      <c r="G72" s="138"/>
      <c r="H72" s="138"/>
      <c r="I72" s="139">
        <v>0</v>
      </c>
      <c r="J72" s="140">
        <f>L64</f>
        <v>98</v>
      </c>
    </row>
    <row r="73" spans="4:11" s="1" customFormat="1" ht="13.5" customHeight="1" x14ac:dyDescent="0.2">
      <c r="E73" s="137"/>
      <c r="F73" s="138"/>
      <c r="G73" s="138"/>
      <c r="H73" s="138"/>
      <c r="I73" s="139">
        <f>+I66/5</f>
        <v>0</v>
      </c>
      <c r="J73" s="140">
        <f>+K64*I73^2+L64</f>
        <v>98</v>
      </c>
    </row>
    <row r="74" spans="4:11" s="1" customFormat="1" ht="13.5" customHeight="1" x14ac:dyDescent="0.2">
      <c r="E74" s="137"/>
      <c r="F74" s="138"/>
      <c r="G74" s="138"/>
      <c r="H74" s="138"/>
      <c r="I74" s="139">
        <f>+I64*2/5</f>
        <v>1.3333333333333332E-2</v>
      </c>
      <c r="J74" s="140">
        <f>+K64*I74^2+L64</f>
        <v>129.35999999999999</v>
      </c>
      <c r="K74" s="141"/>
    </row>
    <row r="75" spans="4:11" s="1" customFormat="1" ht="13.5" customHeight="1" x14ac:dyDescent="0.2">
      <c r="E75" s="137"/>
      <c r="F75" s="138"/>
      <c r="G75" s="138"/>
      <c r="H75" s="138"/>
      <c r="I75" s="139">
        <f>+I64*3/5</f>
        <v>0.02</v>
      </c>
      <c r="J75" s="140">
        <f>+K64*I75^2+L64</f>
        <v>168.56</v>
      </c>
      <c r="K75" s="141"/>
    </row>
    <row r="76" spans="4:11" s="1" customFormat="1" ht="13.5" customHeight="1" x14ac:dyDescent="0.2">
      <c r="E76" s="137"/>
      <c r="F76" s="138"/>
      <c r="G76" s="138"/>
      <c r="H76" s="138"/>
      <c r="I76" s="139">
        <f>+I64*4/5</f>
        <v>2.6666666666666665E-2</v>
      </c>
      <c r="J76" s="140">
        <f>+K64*I76^2+L64</f>
        <v>223.44</v>
      </c>
      <c r="K76" s="141"/>
    </row>
    <row r="77" spans="4:11" s="1" customFormat="1" ht="13.5" customHeight="1" x14ac:dyDescent="0.2">
      <c r="E77" s="137"/>
      <c r="F77" s="138"/>
      <c r="G77" s="138"/>
      <c r="H77" s="138"/>
      <c r="I77" s="139">
        <f>+I64</f>
        <v>3.3333333333333333E-2</v>
      </c>
      <c r="J77" s="140">
        <f>+K64*I77^2+L64</f>
        <v>294</v>
      </c>
      <c r="K77" s="141"/>
    </row>
    <row r="78" spans="4:11" s="1" customFormat="1" ht="13.5" customHeight="1" x14ac:dyDescent="0.2">
      <c r="E78" s="137"/>
      <c r="F78" s="138"/>
      <c r="G78" s="138"/>
      <c r="H78" s="138"/>
      <c r="I78" s="139">
        <f>+I64*1.2</f>
        <v>0.04</v>
      </c>
      <c r="J78" s="140">
        <f>+K64*I78^2+L64</f>
        <v>380.24</v>
      </c>
      <c r="K78" s="141"/>
    </row>
    <row r="79" spans="4:11" s="1" customFormat="1" ht="13.5" customHeight="1" thickBot="1" x14ac:dyDescent="0.25">
      <c r="E79" s="142"/>
      <c r="F79" s="143"/>
      <c r="G79" s="143"/>
      <c r="H79" s="143"/>
      <c r="I79" s="144">
        <f>+I64*1.4</f>
        <v>4.6666666666666662E-2</v>
      </c>
      <c r="J79" s="145">
        <f>+K64*I79^2+L64</f>
        <v>482.15999999999991</v>
      </c>
      <c r="K79" s="141"/>
    </row>
    <row r="80" spans="4:11" s="1" customFormat="1" ht="13.5" customHeight="1" x14ac:dyDescent="0.2"/>
    <row r="81" spans="4:13" s="1" customFormat="1" ht="13.5" customHeight="1" thickBot="1" x14ac:dyDescent="0.25">
      <c r="E81" s="1" t="s">
        <v>30</v>
      </c>
    </row>
    <row r="82" spans="4:13" s="1" customFormat="1" ht="13.5" customHeight="1" x14ac:dyDescent="0.2">
      <c r="E82" s="118" t="s">
        <v>6</v>
      </c>
      <c r="F82" s="104" t="s">
        <v>62</v>
      </c>
      <c r="G82" s="105" t="s">
        <v>121</v>
      </c>
      <c r="H82" s="104" t="s">
        <v>63</v>
      </c>
      <c r="I82" s="106" t="s">
        <v>113</v>
      </c>
      <c r="J82" s="104" t="s">
        <v>65</v>
      </c>
      <c r="K82" s="146"/>
      <c r="L82" s="146"/>
    </row>
    <row r="83" spans="4:13" s="1" customFormat="1" ht="13.5" customHeight="1" thickBot="1" x14ac:dyDescent="0.25">
      <c r="E83" s="108" t="s">
        <v>8</v>
      </c>
      <c r="F83" s="110">
        <f>H41</f>
        <v>98</v>
      </c>
      <c r="G83" s="147">
        <f>+H39</f>
        <v>2000</v>
      </c>
      <c r="H83" s="110">
        <f>H40-H41</f>
        <v>196</v>
      </c>
      <c r="I83" s="112">
        <f>+G83/60/1000</f>
        <v>3.3333333333333333E-2</v>
      </c>
      <c r="J83" s="148">
        <f>H40</f>
        <v>294</v>
      </c>
      <c r="K83" s="149"/>
      <c r="L83" s="149"/>
    </row>
    <row r="84" spans="4:13" s="1" customFormat="1" ht="13.5" customHeight="1" thickBot="1" x14ac:dyDescent="0.25">
      <c r="E84" s="150" t="s">
        <v>9</v>
      </c>
      <c r="F84" s="151" t="s">
        <v>10</v>
      </c>
      <c r="G84" s="151" t="s">
        <v>122</v>
      </c>
      <c r="H84" s="151" t="s">
        <v>115</v>
      </c>
      <c r="I84" s="152" t="s">
        <v>64</v>
      </c>
      <c r="J84" s="153" t="s">
        <v>28</v>
      </c>
    </row>
    <row r="85" spans="4:13" s="1" customFormat="1" ht="13.5" customHeight="1" x14ac:dyDescent="0.2">
      <c r="E85" s="154" t="s">
        <v>27</v>
      </c>
      <c r="F85" s="155" t="s">
        <v>26</v>
      </c>
      <c r="G85" s="155">
        <f>G88*0.5</f>
        <v>1000</v>
      </c>
      <c r="H85" s="156">
        <f>+G85/60/1000</f>
        <v>1.6666666666666666E-2</v>
      </c>
      <c r="I85" s="157">
        <f>H54*H85^2+H55*H85+H56</f>
        <v>340.58247422680415</v>
      </c>
      <c r="J85" s="158">
        <f>H44*H85^H43+H45</f>
        <v>147</v>
      </c>
      <c r="K85" s="70"/>
      <c r="L85" s="70"/>
      <c r="M85" s="6"/>
    </row>
    <row r="86" spans="4:13" s="1" customFormat="1" ht="13.5" customHeight="1" x14ac:dyDescent="0.2">
      <c r="E86" s="129"/>
      <c r="F86" s="124">
        <v>2</v>
      </c>
      <c r="G86" s="124">
        <f>G88*0.6</f>
        <v>1200</v>
      </c>
      <c r="H86" s="159">
        <f t="shared" ref="H86:H89" si="1">+G86/60/1000</f>
        <v>0.02</v>
      </c>
      <c r="I86" s="160">
        <f>H54*H86^2+H55*H86+H56</f>
        <v>334.19818556701034</v>
      </c>
      <c r="J86" s="158">
        <f>H44*H86^H43+H45</f>
        <v>168.56</v>
      </c>
      <c r="K86" s="149"/>
      <c r="L86" s="161"/>
      <c r="M86" s="25"/>
    </row>
    <row r="87" spans="4:13" s="1" customFormat="1" ht="13.5" customHeight="1" x14ac:dyDescent="0.2">
      <c r="E87" s="129"/>
      <c r="F87" s="124">
        <v>3</v>
      </c>
      <c r="G87" s="124">
        <f>G88*0.8</f>
        <v>1600</v>
      </c>
      <c r="H87" s="159">
        <f t="shared" si="1"/>
        <v>2.6666666666666668E-2</v>
      </c>
      <c r="I87" s="160">
        <f>H54*H87^2+H55*H87+H56</f>
        <v>317.26944329896907</v>
      </c>
      <c r="J87" s="158">
        <f>H44*H87^H43+H45</f>
        <v>223.44000000000003</v>
      </c>
      <c r="K87" s="25"/>
    </row>
    <row r="88" spans="4:13" s="1" customFormat="1" ht="13.5" customHeight="1" x14ac:dyDescent="0.2">
      <c r="E88" s="129"/>
      <c r="F88" s="124" t="s">
        <v>18</v>
      </c>
      <c r="G88" s="124">
        <f>G83</f>
        <v>2000</v>
      </c>
      <c r="H88" s="159">
        <f t="shared" si="1"/>
        <v>3.3333333333333333E-2</v>
      </c>
      <c r="I88" s="160">
        <f>H54*H88^2+H55*H88+H56</f>
        <v>294.79381443298973</v>
      </c>
      <c r="J88" s="158">
        <f>H44*H88^H43+H45</f>
        <v>294</v>
      </c>
      <c r="K88" s="25"/>
    </row>
    <row r="89" spans="4:13" s="1" customFormat="1" ht="13.5" customHeight="1" thickBot="1" x14ac:dyDescent="0.25">
      <c r="E89" s="162"/>
      <c r="F89" s="163" t="s">
        <v>19</v>
      </c>
      <c r="G89" s="147">
        <f>1.2*G88</f>
        <v>2400</v>
      </c>
      <c r="H89" s="164">
        <f t="shared" si="1"/>
        <v>0.04</v>
      </c>
      <c r="I89" s="165">
        <f>H54*H89^2+H55*H89+H56</f>
        <v>266.77129896907218</v>
      </c>
      <c r="J89" s="166">
        <f>H44*H89^H43+H45</f>
        <v>380.24</v>
      </c>
      <c r="K89" s="25"/>
    </row>
    <row r="90" spans="4:13" s="1" customFormat="1" ht="13.5" customHeight="1" x14ac:dyDescent="0.2">
      <c r="E90" s="70"/>
      <c r="F90" s="70"/>
      <c r="G90" s="70"/>
      <c r="H90" s="70"/>
      <c r="I90" s="6"/>
      <c r="J90" s="6"/>
      <c r="K90" s="25"/>
    </row>
    <row r="91" spans="4:13" s="1" customFormat="1" ht="13.5" customHeight="1" x14ac:dyDescent="0.2">
      <c r="E91" s="70"/>
      <c r="F91" s="70"/>
      <c r="G91" s="70"/>
      <c r="H91" s="70"/>
      <c r="I91" s="6"/>
      <c r="J91" s="6"/>
      <c r="K91" s="25"/>
    </row>
    <row r="92" spans="4:13" s="1" customFormat="1" ht="13.5" customHeight="1" x14ac:dyDescent="0.2">
      <c r="D92" s="167"/>
      <c r="E92" s="70"/>
      <c r="F92" s="70"/>
      <c r="G92" s="168"/>
      <c r="H92" s="168"/>
      <c r="I92" s="169"/>
      <c r="J92" s="169"/>
      <c r="K92" s="25"/>
    </row>
    <row r="93" spans="4:13" s="1" customFormat="1" ht="13.5" customHeight="1" x14ac:dyDescent="0.2">
      <c r="D93" s="167"/>
      <c r="E93" s="70"/>
      <c r="F93" s="2" t="s">
        <v>82</v>
      </c>
      <c r="G93" s="17"/>
      <c r="H93" s="169"/>
      <c r="I93" s="170"/>
      <c r="K93" s="25"/>
    </row>
    <row r="94" spans="4:13" s="1" customFormat="1" ht="13.5" customHeight="1" x14ac:dyDescent="0.2">
      <c r="E94" s="2"/>
      <c r="F94" s="84" t="s">
        <v>83</v>
      </c>
      <c r="G94" s="2" t="s">
        <v>39</v>
      </c>
      <c r="H94" s="170"/>
      <c r="I94" s="170"/>
    </row>
    <row r="95" spans="4:13" ht="13.5" customHeight="1" x14ac:dyDescent="0.2">
      <c r="F95" s="84" t="s">
        <v>41</v>
      </c>
      <c r="G95" s="2" t="s">
        <v>40</v>
      </c>
      <c r="H95" s="170"/>
      <c r="I95" s="170"/>
    </row>
    <row r="96" spans="4:13" ht="13.5" customHeight="1" x14ac:dyDescent="0.2">
      <c r="F96" s="2" t="s">
        <v>35</v>
      </c>
      <c r="G96" s="1"/>
      <c r="H96" s="170"/>
      <c r="I96" s="170"/>
    </row>
    <row r="97" spans="6:10" ht="13.5" customHeight="1" x14ac:dyDescent="0.2">
      <c r="F97" s="84">
        <v>0</v>
      </c>
      <c r="G97" s="1" t="s">
        <v>36</v>
      </c>
      <c r="H97" s="170"/>
      <c r="I97" s="170"/>
    </row>
    <row r="98" spans="6:10" ht="13.5" customHeight="1" x14ac:dyDescent="0.2">
      <c r="F98" s="84">
        <v>1</v>
      </c>
      <c r="G98" s="1" t="s">
        <v>37</v>
      </c>
      <c r="H98" s="170"/>
      <c r="I98" s="170"/>
    </row>
    <row r="99" spans="6:10" ht="13.5" customHeight="1" x14ac:dyDescent="0.2">
      <c r="F99" s="84">
        <v>2</v>
      </c>
      <c r="G99" s="1" t="s">
        <v>38</v>
      </c>
      <c r="H99" s="170"/>
      <c r="I99" s="170"/>
    </row>
    <row r="100" spans="6:10" ht="13.5" customHeight="1" x14ac:dyDescent="0.2">
      <c r="F100" s="172" t="s">
        <v>84</v>
      </c>
      <c r="G100" s="1"/>
      <c r="H100" s="170"/>
      <c r="I100" s="170"/>
    </row>
    <row r="101" spans="6:10" ht="13.5" customHeight="1" x14ac:dyDescent="0.2">
      <c r="G101" s="170"/>
      <c r="H101" s="170"/>
      <c r="I101" s="170"/>
      <c r="J101" s="170"/>
    </row>
    <row r="102" spans="6:10" ht="13.5" customHeight="1" x14ac:dyDescent="0.2">
      <c r="G102" s="170"/>
      <c r="H102" s="170"/>
      <c r="I102" s="170"/>
      <c r="J102" s="170"/>
    </row>
    <row r="103" spans="6:10" ht="13.5" customHeight="1" x14ac:dyDescent="0.2">
      <c r="F103" s="173"/>
      <c r="G103" s="173" t="s">
        <v>85</v>
      </c>
      <c r="H103" s="173" t="s">
        <v>86</v>
      </c>
    </row>
    <row r="104" spans="6:10" ht="13.5" customHeight="1" x14ac:dyDescent="0.2">
      <c r="F104" s="174" t="s">
        <v>42</v>
      </c>
      <c r="G104" s="173" t="s">
        <v>43</v>
      </c>
      <c r="H104" s="173" t="s">
        <v>45</v>
      </c>
    </row>
    <row r="105" spans="6:10" ht="13.5" customHeight="1" x14ac:dyDescent="0.2">
      <c r="F105" s="174" t="s">
        <v>44</v>
      </c>
      <c r="G105" s="175" t="s">
        <v>87</v>
      </c>
      <c r="H105" s="176" t="s">
        <v>46</v>
      </c>
    </row>
    <row r="106" spans="6:10" ht="13.5" customHeight="1" x14ac:dyDescent="0.2">
      <c r="F106" s="174"/>
      <c r="G106" s="176"/>
      <c r="H106" s="176"/>
      <c r="I106" s="170"/>
    </row>
    <row r="107" spans="6:10" ht="13.5" customHeight="1" x14ac:dyDescent="0.2">
      <c r="G107" s="177"/>
      <c r="H107" s="178"/>
      <c r="I107" s="178"/>
      <c r="J107" s="170"/>
    </row>
    <row r="108" spans="6:10" ht="13.5" customHeight="1" x14ac:dyDescent="0.2">
      <c r="G108" s="177"/>
      <c r="H108" s="179"/>
      <c r="I108" s="179"/>
      <c r="J108" s="170"/>
    </row>
    <row r="109" spans="6:10" ht="13.5" customHeight="1" x14ac:dyDescent="0.2">
      <c r="G109" s="177"/>
      <c r="H109" s="179"/>
      <c r="I109" s="179"/>
      <c r="J109" s="170"/>
    </row>
    <row r="110" spans="6:10" ht="13.5" customHeight="1" x14ac:dyDescent="0.2">
      <c r="G110" s="177"/>
      <c r="H110" s="178"/>
      <c r="I110" s="178"/>
      <c r="J110" s="170"/>
    </row>
    <row r="111" spans="6:10" ht="13.5" customHeight="1" x14ac:dyDescent="0.2">
      <c r="G111" s="177"/>
      <c r="H111" s="179"/>
      <c r="I111" s="179"/>
      <c r="J111" s="170"/>
    </row>
    <row r="112" spans="6:10" ht="13.5" customHeight="1" x14ac:dyDescent="0.2">
      <c r="G112" s="170"/>
      <c r="H112" s="170"/>
      <c r="I112" s="170"/>
      <c r="J112" s="170"/>
    </row>
    <row r="113" spans="7:10" ht="13.5" customHeight="1" x14ac:dyDescent="0.2">
      <c r="G113" s="170"/>
      <c r="H113" s="170"/>
      <c r="I113" s="170"/>
      <c r="J113" s="170"/>
    </row>
    <row r="114" spans="7:10" ht="13.5" customHeight="1" x14ac:dyDescent="0.2">
      <c r="G114" s="170"/>
      <c r="H114" s="170"/>
      <c r="I114" s="170"/>
      <c r="J114" s="170"/>
    </row>
    <row r="115" spans="7:10" ht="13.5" customHeight="1" x14ac:dyDescent="0.2">
      <c r="G115" s="170"/>
      <c r="H115" s="170"/>
      <c r="I115" s="170"/>
      <c r="J115" s="170"/>
    </row>
  </sheetData>
  <sheetProtection algorithmName="SHA-512" hashValue="3l73fOxXSLnsTh35eAChb3AijZFKURunFQwDakXXsgMdDtLXgwXAZSmkFBKNX+5hh/t+KZJ9LpvxTEUFLN2xkg==" saltValue="AVHydhnZON73NFZG4uy9eg==" spinCount="100000" sheet="1" objects="1" scenarios="1"/>
  <mergeCells count="5">
    <mergeCell ref="G22:H22"/>
    <mergeCell ref="G38:H38"/>
    <mergeCell ref="E66:E70"/>
    <mergeCell ref="K66:K70"/>
    <mergeCell ref="E85:E89"/>
  </mergeCells>
  <phoneticPr fontId="1"/>
  <pageMargins left="0.36" right="0.32" top="0.34" bottom="0.35" header="0.26" footer="0.2"/>
  <pageSetup paperSize="9" scale="49" orientation="portrait" r:id="rId1"/>
  <headerFooter alignWithMargins="0">
    <oddFooter>&amp;R&amp;F　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冷却水ポンプ属性部変更用シート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2014-01-31T15:00:00Z</cp:lastPrinted>
  <dcterms:created xsi:type="dcterms:W3CDTF">2014-01-31T15:00:00Z</dcterms:created>
  <dcterms:modified xsi:type="dcterms:W3CDTF">2025-12-12T04:18:41Z</dcterms:modified>
  <cp:category/>
</cp:coreProperties>
</file>