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E:\00_研究\研究_LCEM研究会\COMMONsツール公開\公開ツール\冷却塔(インバータファン)オブジェクト_v20251212\"/>
    </mc:Choice>
  </mc:AlternateContent>
  <xr:revisionPtr revIDLastSave="0" documentId="13_ncr:1_{BFF0504D-AFCF-4C10-8C09-690E9A4A0191}" xr6:coauthVersionLast="47" xr6:coauthVersionMax="47" xr10:uidLastSave="{00000000-0000-0000-0000-000000000000}"/>
  <bookViews>
    <workbookView xWindow="1152" yWindow="864" windowWidth="24744" windowHeight="16416" activeTab="1" xr2:uid="{00000000-000D-0000-FFFF-FFFF00000000}"/>
  </bookViews>
  <sheets>
    <sheet name="開放形冷却塔（遠心冷凍機用）" sheetId="1" r:id="rId1"/>
    <sheet name="開放形冷却塔（吸収冷温水機用）" sheetId="2" r:id="rId2"/>
  </sheet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2" l="1"/>
  <c r="F21" i="2"/>
  <c r="F19" i="2"/>
  <c r="F30" i="2" s="1"/>
  <c r="F18" i="2"/>
  <c r="C12" i="2"/>
  <c r="C13" i="2" s="1"/>
  <c r="C9" i="2" s="1"/>
  <c r="C11" i="2" s="1"/>
  <c r="C10" i="2" s="1"/>
  <c r="C17" i="2" s="1"/>
  <c r="F22" i="2" s="1"/>
  <c r="F31" i="2" s="1"/>
  <c r="F37" i="2" l="1"/>
  <c r="F38" i="2" s="1"/>
  <c r="F17" i="2" s="1"/>
  <c r="F23" i="1" l="1"/>
  <c r="F21" i="1"/>
  <c r="F19" i="1"/>
  <c r="F30" i="1" s="1"/>
  <c r="F18" i="1"/>
  <c r="C12" i="1"/>
  <c r="C13" i="1" s="1"/>
  <c r="C9" i="1" s="1"/>
  <c r="C11" i="1" s="1"/>
  <c r="C10" i="1" s="1"/>
  <c r="C17" i="1" s="1"/>
  <c r="F22" i="1" s="1"/>
  <c r="F31" i="1" l="1"/>
  <c r="F37" i="1"/>
  <c r="F38" i="1" s="1"/>
  <c r="F17" i="1" s="1"/>
  <c r="F20" i="1"/>
  <c r="I21" i="1"/>
  <c r="F32" i="1"/>
  <c r="F33" i="1"/>
  <c r="F34" i="1"/>
  <c r="F35" i="1"/>
  <c r="F36" i="1"/>
  <c r="F45" i="1"/>
  <c r="F20" i="2"/>
  <c r="I21" i="2"/>
  <c r="F32" i="2"/>
  <c r="F33" i="2"/>
  <c r="F34" i="2"/>
  <c r="F35" i="2"/>
  <c r="F36" i="2"/>
  <c r="F45" i="2"/>
</calcChain>
</file>

<file path=xl/sharedStrings.xml><?xml version="1.0" encoding="utf-8"?>
<sst xmlns="http://schemas.openxmlformats.org/spreadsheetml/2006/main" count="108" uniqueCount="52">
  <si>
    <t>初期化スイッチ</t>
  </si>
  <si>
    <t>１：初期値  0：算出</t>
  </si>
  <si>
    <t>外気条件</t>
    <rPh sb="0" eb="2">
      <t>ガイキ</t>
    </rPh>
    <rPh sb="2" eb="4">
      <t>ジョウケン</t>
    </rPh>
    <phoneticPr fontId="2"/>
  </si>
  <si>
    <t>乾球温度 ［℃］</t>
    <phoneticPr fontId="2"/>
  </si>
  <si>
    <t>相対湿度 ［％］</t>
    <phoneticPr fontId="2"/>
  </si>
  <si>
    <t>絶対湿度 ［kg/kg'］</t>
    <phoneticPr fontId="2"/>
  </si>
  <si>
    <t>湿球温度 ［℃］</t>
    <phoneticPr fontId="2"/>
  </si>
  <si>
    <t>エンタルピー ［kJ/kg'］</t>
    <phoneticPr fontId="2"/>
  </si>
  <si>
    <t>飽和水蒸気圧 ［Pa］</t>
    <phoneticPr fontId="2"/>
  </si>
  <si>
    <t>水蒸気分圧 ［Pa］</t>
    <phoneticPr fontId="2"/>
  </si>
  <si>
    <t>外気条件</t>
  </si>
  <si>
    <t>冷却水ポンプ</t>
  </si>
  <si>
    <t>エラー状態</t>
  </si>
  <si>
    <t>エラー状態</t>
    <rPh sb="3" eb="5">
      <t>ジョウタイ</t>
    </rPh>
    <phoneticPr fontId="3"/>
  </si>
  <si>
    <t>運転状態　0:停止 1:運転</t>
  </si>
  <si>
    <t>冷却水量 ［㍑/min］</t>
    <phoneticPr fontId="2"/>
  </si>
  <si>
    <t>運転ﾓｰﾄﾞ　0:停止 1:冷房 2:暖房</t>
  </si>
  <si>
    <t>冷却水出口温度 ［℃］</t>
    <phoneticPr fontId="2"/>
  </si>
  <si>
    <t>冷却水量 ［㍑/min］</t>
    <rPh sb="0" eb="3">
      <t>レイキャクスイ</t>
    </rPh>
    <rPh sb="3" eb="4">
      <t>リョウ</t>
    </rPh>
    <phoneticPr fontId="3"/>
  </si>
  <si>
    <t>冷却水入口温度 ［℃］</t>
    <phoneticPr fontId="2"/>
  </si>
  <si>
    <t>冷却水往温度 ［℃］</t>
    <rPh sb="0" eb="3">
      <t>レイキャクスイ</t>
    </rPh>
    <rPh sb="3" eb="4">
      <t>オウ</t>
    </rPh>
    <rPh sb="4" eb="6">
      <t>オンド</t>
    </rPh>
    <phoneticPr fontId="3"/>
  </si>
  <si>
    <t>外気湿球温度 ［℃］</t>
    <phoneticPr fontId="2"/>
  </si>
  <si>
    <t>冷却水還温度 ［℃］</t>
    <rPh sb="0" eb="3">
      <t>レイキャクスイ</t>
    </rPh>
    <rPh sb="3" eb="4">
      <t>カン</t>
    </rPh>
    <rPh sb="4" eb="6">
      <t>オンド</t>
    </rPh>
    <phoneticPr fontId="3"/>
  </si>
  <si>
    <t>定格冷却水量 ［㍑/min］</t>
    <phoneticPr fontId="2"/>
  </si>
  <si>
    <t>冷凍機負荷率clr ［-］</t>
    <rPh sb="0" eb="2">
      <t>レイトウ</t>
    </rPh>
    <rPh sb="2" eb="3">
      <t>キ</t>
    </rPh>
    <rPh sb="3" eb="5">
      <t>フカ</t>
    </rPh>
    <rPh sb="5" eb="6">
      <t>リツ</t>
    </rPh>
    <phoneticPr fontId="3"/>
  </si>
  <si>
    <t>ポンプ入口温度 ［℃］</t>
    <rPh sb="3" eb="5">
      <t>イリグチ</t>
    </rPh>
    <rPh sb="5" eb="7">
      <t>オンド</t>
    </rPh>
    <phoneticPr fontId="3"/>
  </si>
  <si>
    <t>冷却塔制御</t>
  </si>
  <si>
    <t>冷却水下限温度(制御ありで有効) ［℃］</t>
    <rPh sb="3" eb="5">
      <t>カゲン</t>
    </rPh>
    <rPh sb="8" eb="10">
      <t>セイギョ</t>
    </rPh>
    <rPh sb="13" eb="15">
      <t>ユウコウ</t>
    </rPh>
    <phoneticPr fontId="2"/>
  </si>
  <si>
    <t>冷却水温度制御（あり=1）</t>
    <phoneticPr fontId="2"/>
  </si>
  <si>
    <t>冷却水量比 ［％］</t>
    <phoneticPr fontId="2"/>
  </si>
  <si>
    <t>冷却水出口温度（下限なし） ［℃］</t>
    <rPh sb="0" eb="3">
      <t>レイキャクスイ</t>
    </rPh>
    <rPh sb="8" eb="10">
      <t>カゲン</t>
    </rPh>
    <phoneticPr fontId="2"/>
  </si>
  <si>
    <t>冷却水出口温度（風量変化時）［℃］</t>
    <rPh sb="0" eb="2">
      <t>レイキャク</t>
    </rPh>
    <rPh sb="2" eb="3">
      <t>スイ</t>
    </rPh>
    <rPh sb="3" eb="5">
      <t>デグチ</t>
    </rPh>
    <rPh sb="5" eb="7">
      <t>オンド</t>
    </rPh>
    <rPh sb="8" eb="10">
      <t>フウリョウ</t>
    </rPh>
    <rPh sb="10" eb="12">
      <t>ヘンカ</t>
    </rPh>
    <rPh sb="12" eb="13">
      <t>ジ</t>
    </rPh>
    <phoneticPr fontId="2"/>
  </si>
  <si>
    <t>風量比［-］</t>
    <rPh sb="0" eb="2">
      <t>フウリョウ</t>
    </rPh>
    <rPh sb="2" eb="3">
      <t>ヒ</t>
    </rPh>
    <phoneticPr fontId="2"/>
  </si>
  <si>
    <t>送風機電力消費量 ［kW］</t>
    <rPh sb="5" eb="8">
      <t>ショウヒリョウ</t>
    </rPh>
    <phoneticPr fontId="2"/>
  </si>
  <si>
    <t>エラーコード（水量，入口温度）</t>
    <rPh sb="7" eb="9">
      <t>スイリョウ</t>
    </rPh>
    <rPh sb="12" eb="14">
      <t>オンド</t>
    </rPh>
    <phoneticPr fontId="2"/>
  </si>
  <si>
    <t>エラー判定</t>
    <rPh sb="3" eb="5">
      <t>ハンテイ</t>
    </rPh>
    <phoneticPr fontId="2"/>
  </si>
  <si>
    <t>冷却塔属性</t>
  </si>
  <si>
    <t>送風機定格消費電力 ［kW］</t>
    <phoneticPr fontId="2"/>
  </si>
  <si>
    <t>風量比緩和係数［-］</t>
    <rPh sb="0" eb="2">
      <t>フウリョウ</t>
    </rPh>
    <rPh sb="2" eb="3">
      <t>ヒ</t>
    </rPh>
    <rPh sb="3" eb="5">
      <t>カンワ</t>
    </rPh>
    <rPh sb="5" eb="7">
      <t>ケイスウ</t>
    </rPh>
    <phoneticPr fontId="2"/>
  </si>
  <si>
    <t>冷却水出口温度補正係数 a ［-］</t>
    <phoneticPr fontId="2"/>
  </si>
  <si>
    <t>冷却水出口温度補正係数 b ［-］</t>
    <phoneticPr fontId="2"/>
  </si>
  <si>
    <t>消費電力補正係数 c ［-］</t>
    <phoneticPr fontId="2"/>
  </si>
  <si>
    <t>消費電力補正係数 d ［-］</t>
    <phoneticPr fontId="2"/>
  </si>
  <si>
    <t>開放形冷却塔（吸収冷温水機用）</t>
    <rPh sb="0" eb="2">
      <t>カイホウ</t>
    </rPh>
    <rPh sb="2" eb="3">
      <t>ケイ</t>
    </rPh>
    <rPh sb="3" eb="6">
      <t>レイキャクトウ</t>
    </rPh>
    <rPh sb="7" eb="9">
      <t>キュウシュウ</t>
    </rPh>
    <rPh sb="9" eb="11">
      <t>レイオン</t>
    </rPh>
    <rPh sb="11" eb="12">
      <t>ミズ</t>
    </rPh>
    <rPh sb="12" eb="13">
      <t>キ</t>
    </rPh>
    <rPh sb="13" eb="14">
      <t>ヨウ</t>
    </rPh>
    <phoneticPr fontId="1"/>
  </si>
  <si>
    <t>開放形冷却塔（遠心冷凍機用）</t>
    <rPh sb="0" eb="2">
      <t>カイホウ</t>
    </rPh>
    <rPh sb="2" eb="3">
      <t>ケイ</t>
    </rPh>
    <rPh sb="3" eb="6">
      <t>レイキャクトウ</t>
    </rPh>
    <rPh sb="7" eb="9">
      <t>エンシン</t>
    </rPh>
    <rPh sb="9" eb="11">
      <t>レイトウ</t>
    </rPh>
    <rPh sb="11" eb="12">
      <t>キ</t>
    </rPh>
    <rPh sb="12" eb="13">
      <t>ヨウ</t>
    </rPh>
    <phoneticPr fontId="1"/>
  </si>
  <si>
    <t>冷却塔ファンINV制御　1：あり　0：なし</t>
    <rPh sb="0" eb="3">
      <t>レイキャクトウ</t>
    </rPh>
    <rPh sb="9" eb="11">
      <t>セイギョ</t>
    </rPh>
    <phoneticPr fontId="2"/>
  </si>
  <si>
    <t>冷却塔ファン定格周波数［Hz］</t>
    <rPh sb="0" eb="3">
      <t>レイキャクトウ</t>
    </rPh>
    <rPh sb="6" eb="8">
      <t>テイカク</t>
    </rPh>
    <rPh sb="8" eb="11">
      <t>シュウハスウ</t>
    </rPh>
    <phoneticPr fontId="2"/>
  </si>
  <si>
    <t>冷却塔ファン下限周波数［Hz］</t>
    <rPh sb="0" eb="3">
      <t>レイキャクトウ</t>
    </rPh>
    <rPh sb="6" eb="8">
      <t>カゲン</t>
    </rPh>
    <rPh sb="8" eb="11">
      <t>シュウハスウ</t>
    </rPh>
    <phoneticPr fontId="2"/>
  </si>
  <si>
    <t>冷却塔ファン周波数［Hz］</t>
    <rPh sb="0" eb="3">
      <t>レイキャクトウ</t>
    </rPh>
    <rPh sb="6" eb="9">
      <t>シュウハスウ</t>
    </rPh>
    <phoneticPr fontId="2"/>
  </si>
  <si>
    <t>COMs_CT(OP-INVF)_RC-20251212</t>
    <phoneticPr fontId="1"/>
  </si>
  <si>
    <t>COMs_CT(OP-INVF)_RH-20251212</t>
    <phoneticPr fontId="1"/>
  </si>
  <si>
    <t>提供者：名古屋大学LCEM推進研究会</t>
    <rPh sb="0" eb="3">
      <t>テイキョウシャ</t>
    </rPh>
    <rPh sb="4" eb="9">
      <t>ナゴヤダイガク</t>
    </rPh>
    <rPh sb="13" eb="15">
      <t>スイシン</t>
    </rPh>
    <rPh sb="15" eb="18">
      <t>ケンキュウカイ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</si>
</sst>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.0_ "/>
    <numFmt numFmtId="177" formatCode="#,##0_ "/>
    <numFmt numFmtId="178" formatCode="0.0000_ "/>
    <numFmt numFmtId="179" formatCode="0.0_);[Red]\(0.0\)"/>
    <numFmt numFmtId="180" formatCode="0_);[Red]\(0\)"/>
    <numFmt numFmtId="181" formatCode="#,##0_);[Red]\(#,##0\)"/>
    <numFmt numFmtId="182" formatCode="0_ "/>
    <numFmt numFmtId="183" formatCode="0.00_ "/>
    <numFmt numFmtId="184" formatCode="0.0000"/>
    <numFmt numFmtId="185" formatCode="0.000"/>
    <numFmt numFmtId="186" formatCode="#,##0.0000000_ "/>
  </numFmts>
  <fonts count="11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gray0625">
        <bgColor indexed="11"/>
      </patternFill>
    </fill>
    <fill>
      <patternFill patternType="solid">
        <fgColor indexed="1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6" fillId="0" borderId="0" xfId="0" applyFont="1" applyProtection="1">
      <alignment vertical="center"/>
      <protection locked="0"/>
    </xf>
    <xf numFmtId="2" fontId="4" fillId="2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Protection="1">
      <alignment vertical="center"/>
      <protection locked="0"/>
    </xf>
    <xf numFmtId="2" fontId="4" fillId="2" borderId="2" xfId="0" applyNumberFormat="1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2" fontId="7" fillId="4" borderId="4" xfId="0" applyNumberFormat="1" applyFont="1" applyFill="1" applyBorder="1" applyAlignment="1" applyProtection="1">
      <alignment horizontal="center" vertical="center"/>
      <protection locked="0"/>
    </xf>
    <xf numFmtId="2" fontId="7" fillId="4" borderId="5" xfId="0" applyNumberFormat="1" applyFont="1" applyFill="1" applyBorder="1" applyProtection="1">
      <alignment vertical="center"/>
      <protection locked="0"/>
    </xf>
    <xf numFmtId="2" fontId="7" fillId="4" borderId="6" xfId="0" applyNumberFormat="1" applyFont="1" applyFill="1" applyBorder="1" applyAlignment="1" applyProtection="1">
      <alignment horizontal="left" vertical="center"/>
      <protection locked="0"/>
    </xf>
    <xf numFmtId="176" fontId="7" fillId="5" borderId="7" xfId="0" applyNumberFormat="1" applyFont="1" applyFill="1" applyBorder="1" applyAlignment="1" applyProtection="1">
      <alignment horizontal="center" vertical="center"/>
      <protection locked="0"/>
    </xf>
    <xf numFmtId="177" fontId="7" fillId="4" borderId="8" xfId="0" applyNumberFormat="1" applyFont="1" applyFill="1" applyBorder="1" applyAlignment="1" applyProtection="1">
      <alignment horizontal="left" vertical="center"/>
      <protection locked="0"/>
    </xf>
    <xf numFmtId="176" fontId="7" fillId="5" borderId="9" xfId="0" applyNumberFormat="1" applyFont="1" applyFill="1" applyBorder="1" applyAlignment="1" applyProtection="1">
      <alignment horizontal="center" vertical="center"/>
      <protection locked="0"/>
    </xf>
    <xf numFmtId="177" fontId="7" fillId="6" borderId="10" xfId="0" applyNumberFormat="1" applyFont="1" applyFill="1" applyBorder="1" applyAlignment="1" applyProtection="1">
      <alignment horizontal="left" vertical="center"/>
      <protection locked="0"/>
    </xf>
    <xf numFmtId="178" fontId="7" fillId="6" borderId="11" xfId="0" applyNumberFormat="1" applyFont="1" applyFill="1" applyBorder="1" applyAlignment="1" applyProtection="1">
      <alignment horizontal="center" vertical="center"/>
      <protection locked="0"/>
    </xf>
    <xf numFmtId="2" fontId="7" fillId="6" borderId="6" xfId="0" applyNumberFormat="1" applyFont="1" applyFill="1" applyBorder="1" applyAlignment="1" applyProtection="1">
      <alignment horizontal="left" vertical="center"/>
      <protection locked="0"/>
    </xf>
    <xf numFmtId="176" fontId="7" fillId="6" borderId="7" xfId="0" applyNumberFormat="1" applyFont="1" applyFill="1" applyBorder="1" applyAlignment="1" applyProtection="1">
      <alignment horizontal="center" vertical="center"/>
      <protection locked="0"/>
    </xf>
    <xf numFmtId="0" fontId="7" fillId="6" borderId="6" xfId="0" applyFont="1" applyFill="1" applyBorder="1" applyAlignment="1" applyProtection="1">
      <alignment horizontal="left" vertical="center"/>
      <protection locked="0"/>
    </xf>
    <xf numFmtId="177" fontId="7" fillId="6" borderId="7" xfId="0" applyNumberFormat="1" applyFont="1" applyFill="1" applyBorder="1" applyAlignment="1" applyProtection="1">
      <alignment horizontal="center" vertical="center"/>
      <protection locked="0"/>
    </xf>
    <xf numFmtId="0" fontId="7" fillId="6" borderId="8" xfId="0" applyFont="1" applyFill="1" applyBorder="1" applyAlignment="1" applyProtection="1">
      <alignment horizontal="left" vertical="center"/>
      <protection locked="0"/>
    </xf>
    <xf numFmtId="177" fontId="7" fillId="6" borderId="9" xfId="0" applyNumberFormat="1" applyFont="1" applyFill="1" applyBorder="1" applyAlignment="1" applyProtection="1">
      <alignment horizontal="center" vertical="center"/>
      <protection locked="0"/>
    </xf>
    <xf numFmtId="2" fontId="7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Protection="1">
      <alignment vertical="center"/>
      <protection locked="0"/>
    </xf>
    <xf numFmtId="2" fontId="7" fillId="0" borderId="12" xfId="0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2" fontId="7" fillId="0" borderId="14" xfId="0" applyNumberFormat="1" applyFont="1" applyBorder="1" applyAlignment="1" applyProtection="1">
      <alignment horizontal="center" vertical="center"/>
      <protection locked="0"/>
    </xf>
    <xf numFmtId="2" fontId="7" fillId="7" borderId="12" xfId="0" applyNumberFormat="1" applyFont="1" applyFill="1" applyBorder="1" applyAlignment="1" applyProtection="1">
      <alignment horizontal="center" vertical="center" shrinkToFit="1"/>
      <protection locked="0"/>
    </xf>
    <xf numFmtId="2" fontId="7" fillId="7" borderId="13" xfId="0" applyNumberFormat="1" applyFont="1" applyFill="1" applyBorder="1" applyAlignment="1" applyProtection="1">
      <alignment horizontal="center" vertical="center" shrinkToFit="1"/>
      <protection locked="0"/>
    </xf>
    <xf numFmtId="2" fontId="7" fillId="0" borderId="15" xfId="0" applyNumberFormat="1" applyFont="1" applyBorder="1" applyAlignment="1" applyProtection="1">
      <alignment horizontal="center" vertical="center"/>
      <protection locked="0"/>
    </xf>
    <xf numFmtId="2" fontId="7" fillId="0" borderId="16" xfId="0" applyNumberFormat="1" applyFont="1" applyBorder="1" applyAlignment="1" applyProtection="1">
      <alignment horizontal="center" vertical="center"/>
      <protection locked="0"/>
    </xf>
    <xf numFmtId="2" fontId="7" fillId="0" borderId="17" xfId="0" applyNumberFormat="1" applyFont="1" applyBorder="1" applyAlignment="1" applyProtection="1">
      <alignment horizontal="center" vertical="center"/>
      <protection locked="0"/>
    </xf>
    <xf numFmtId="2" fontId="7" fillId="0" borderId="8" xfId="0" applyNumberFormat="1" applyFont="1" applyBorder="1" applyAlignment="1" applyProtection="1">
      <alignment horizontal="center" vertical="center"/>
      <protection locked="0"/>
    </xf>
    <xf numFmtId="179" fontId="7" fillId="4" borderId="9" xfId="0" applyNumberFormat="1" applyFont="1" applyFill="1" applyBorder="1" applyAlignment="1" applyProtection="1">
      <alignment horizontal="center" vertical="center"/>
      <protection locked="0"/>
    </xf>
    <xf numFmtId="2" fontId="7" fillId="8" borderId="6" xfId="0" applyNumberFormat="1" applyFont="1" applyFill="1" applyBorder="1" applyAlignment="1" applyProtection="1">
      <alignment horizontal="left" vertical="center"/>
      <protection locked="0"/>
    </xf>
    <xf numFmtId="180" fontId="7" fillId="8" borderId="11" xfId="0" applyNumberFormat="1" applyFont="1" applyFill="1" applyBorder="1" applyAlignment="1" applyProtection="1">
      <alignment horizontal="center" vertical="center"/>
      <protection locked="0"/>
    </xf>
    <xf numFmtId="2" fontId="7" fillId="0" borderId="6" xfId="0" applyNumberFormat="1" applyFont="1" applyBorder="1" applyAlignment="1" applyProtection="1">
      <alignment horizontal="left" vertical="center"/>
      <protection locked="0"/>
    </xf>
    <xf numFmtId="1" fontId="7" fillId="0" borderId="7" xfId="0" applyNumberFormat="1" applyFont="1" applyBorder="1" applyAlignment="1" applyProtection="1">
      <alignment horizontal="center" vertical="center"/>
      <protection locked="0"/>
    </xf>
    <xf numFmtId="2" fontId="7" fillId="7" borderId="6" xfId="0" applyNumberFormat="1" applyFont="1" applyFill="1" applyBorder="1" applyAlignment="1" applyProtection="1">
      <alignment horizontal="left" vertical="center"/>
      <protection locked="0"/>
    </xf>
    <xf numFmtId="180" fontId="7" fillId="9" borderId="7" xfId="0" applyNumberFormat="1" applyFont="1" applyFill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180" fontId="7" fillId="4" borderId="7" xfId="0" applyNumberFormat="1" applyFont="1" applyFill="1" applyBorder="1" applyAlignment="1" applyProtection="1">
      <alignment horizontal="center" vertical="center"/>
      <protection locked="0"/>
    </xf>
    <xf numFmtId="177" fontId="7" fillId="9" borderId="7" xfId="0" applyNumberFormat="1" applyFont="1" applyFill="1" applyBorder="1" applyAlignment="1" applyProtection="1">
      <alignment horizontal="center" vertical="center"/>
      <protection locked="0"/>
    </xf>
    <xf numFmtId="181" fontId="7" fillId="0" borderId="7" xfId="0" applyNumberFormat="1" applyFont="1" applyBorder="1" applyAlignment="1" applyProtection="1">
      <alignment horizontal="center" vertical="center"/>
      <protection locked="0"/>
    </xf>
    <xf numFmtId="176" fontId="9" fillId="10" borderId="7" xfId="0" applyNumberFormat="1" applyFont="1" applyFill="1" applyBorder="1" applyAlignment="1" applyProtection="1">
      <alignment horizontal="center" vertical="center"/>
      <protection locked="0"/>
    </xf>
    <xf numFmtId="181" fontId="9" fillId="4" borderId="7" xfId="0" applyNumberFormat="1" applyFont="1" applyFill="1" applyBorder="1" applyAlignment="1" applyProtection="1">
      <alignment horizontal="center" vertical="center"/>
      <protection locked="0"/>
    </xf>
    <xf numFmtId="176" fontId="7" fillId="9" borderId="7" xfId="0" applyNumberFormat="1" applyFont="1" applyFill="1" applyBorder="1" applyAlignment="1" applyProtection="1">
      <alignment horizontal="center" vertical="center"/>
      <protection locked="0"/>
    </xf>
    <xf numFmtId="179" fontId="7" fillId="0" borderId="7" xfId="0" applyNumberFormat="1" applyFont="1" applyBorder="1" applyAlignment="1" applyProtection="1">
      <alignment horizontal="center" vertical="center"/>
      <protection locked="0"/>
    </xf>
    <xf numFmtId="176" fontId="9" fillId="11" borderId="7" xfId="0" applyNumberFormat="1" applyFont="1" applyFill="1" applyBorder="1" applyAlignment="1" applyProtection="1">
      <alignment horizontal="center" vertical="center"/>
      <protection locked="0"/>
    </xf>
    <xf numFmtId="179" fontId="7" fillId="4" borderId="7" xfId="0" applyNumberFormat="1" applyFont="1" applyFill="1" applyBorder="1" applyAlignment="1" applyProtection="1">
      <alignment horizontal="center" vertical="center"/>
      <protection locked="0"/>
    </xf>
    <xf numFmtId="2" fontId="7" fillId="7" borderId="8" xfId="0" applyNumberFormat="1" applyFont="1" applyFill="1" applyBorder="1" applyAlignment="1" applyProtection="1">
      <alignment horizontal="left" vertical="center"/>
      <protection locked="0"/>
    </xf>
    <xf numFmtId="177" fontId="7" fillId="10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left" vertical="center"/>
      <protection locked="0"/>
    </xf>
    <xf numFmtId="179" fontId="7" fillId="0" borderId="19" xfId="0" applyNumberFormat="1" applyFont="1" applyBorder="1" applyAlignment="1" applyProtection="1">
      <alignment horizontal="center" vertical="center"/>
      <protection locked="0"/>
    </xf>
    <xf numFmtId="2" fontId="7" fillId="0" borderId="20" xfId="0" applyNumberFormat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179" fontId="7" fillId="0" borderId="9" xfId="0" applyNumberFormat="1" applyFont="1" applyBorder="1" applyAlignment="1" applyProtection="1">
      <alignment horizontal="center" vertical="center"/>
      <protection locked="0"/>
    </xf>
    <xf numFmtId="2" fontId="7" fillId="4" borderId="12" xfId="0" applyNumberFormat="1" applyFont="1" applyFill="1" applyBorder="1" applyAlignment="1" applyProtection="1">
      <alignment horizontal="center" vertical="center"/>
      <protection locked="0"/>
    </xf>
    <xf numFmtId="0" fontId="7" fillId="4" borderId="13" xfId="0" applyFont="1" applyFill="1" applyBorder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182" fontId="7" fillId="5" borderId="19" xfId="0" applyNumberFormat="1" applyFont="1" applyFill="1" applyBorder="1" applyAlignment="1" applyProtection="1">
      <alignment horizontal="center" vertical="center"/>
      <protection locked="0"/>
    </xf>
    <xf numFmtId="2" fontId="7" fillId="4" borderId="21" xfId="0" applyNumberFormat="1" applyFont="1" applyFill="1" applyBorder="1" applyAlignment="1" applyProtection="1">
      <alignment horizontal="left" vertical="center"/>
      <protection locked="0"/>
    </xf>
    <xf numFmtId="182" fontId="7" fillId="5" borderId="9" xfId="0" applyNumberFormat="1" applyFont="1" applyFill="1" applyBorder="1" applyAlignment="1" applyProtection="1">
      <alignment horizontal="center" vertical="center"/>
      <protection locked="0"/>
    </xf>
    <xf numFmtId="2" fontId="7" fillId="6" borderId="4" xfId="0" applyNumberFormat="1" applyFont="1" applyFill="1" applyBorder="1" applyAlignment="1" applyProtection="1">
      <alignment horizontal="left" vertical="center"/>
      <protection locked="0"/>
    </xf>
    <xf numFmtId="182" fontId="7" fillId="6" borderId="5" xfId="0" applyNumberFormat="1" applyFont="1" applyFill="1" applyBorder="1" applyAlignment="1" applyProtection="1">
      <alignment horizontal="center" vertical="center"/>
      <protection locked="0"/>
    </xf>
    <xf numFmtId="176" fontId="7" fillId="0" borderId="0" xfId="0" applyNumberFormat="1" applyFont="1" applyProtection="1">
      <alignment vertical="center"/>
      <protection locked="0"/>
    </xf>
    <xf numFmtId="183" fontId="7" fillId="6" borderId="7" xfId="0" applyNumberFormat="1" applyFont="1" applyFill="1" applyBorder="1" applyAlignment="1" applyProtection="1">
      <alignment horizontal="center" vertical="center"/>
      <protection locked="0"/>
    </xf>
    <xf numFmtId="176" fontId="7" fillId="12" borderId="7" xfId="0" applyNumberFormat="1" applyFont="1" applyFill="1" applyBorder="1" applyAlignment="1" applyProtection="1">
      <alignment horizontal="center" vertical="center"/>
      <protection locked="0"/>
    </xf>
    <xf numFmtId="184" fontId="7" fillId="0" borderId="0" xfId="0" applyNumberFormat="1" applyFont="1" applyProtection="1">
      <alignment vertical="center"/>
      <protection locked="0"/>
    </xf>
    <xf numFmtId="2" fontId="7" fillId="6" borderId="18" xfId="0" applyNumberFormat="1" applyFont="1" applyFill="1" applyBorder="1" applyAlignment="1" applyProtection="1">
      <alignment horizontal="left" vertical="center"/>
      <protection locked="0"/>
    </xf>
    <xf numFmtId="176" fontId="7" fillId="12" borderId="19" xfId="0" applyNumberFormat="1" applyFont="1" applyFill="1" applyBorder="1" applyAlignment="1" applyProtection="1">
      <alignment horizontal="center" vertical="center"/>
      <protection locked="0"/>
    </xf>
    <xf numFmtId="2" fontId="7" fillId="8" borderId="18" xfId="0" applyNumberFormat="1" applyFont="1" applyFill="1" applyBorder="1" applyAlignment="1" applyProtection="1">
      <alignment horizontal="left" vertical="center"/>
      <protection locked="0"/>
    </xf>
    <xf numFmtId="180" fontId="7" fillId="8" borderId="7" xfId="0" applyNumberFormat="1" applyFont="1" applyFill="1" applyBorder="1" applyAlignment="1" applyProtection="1">
      <alignment horizontal="center" vertical="center"/>
      <protection locked="0"/>
    </xf>
    <xf numFmtId="185" fontId="7" fillId="0" borderId="0" xfId="0" applyNumberFormat="1" applyFont="1" applyProtection="1">
      <alignment vertical="center"/>
      <protection locked="0"/>
    </xf>
    <xf numFmtId="2" fontId="7" fillId="8" borderId="8" xfId="0" applyNumberFormat="1" applyFont="1" applyFill="1" applyBorder="1" applyAlignment="1" applyProtection="1">
      <alignment horizontal="left" vertical="center"/>
      <protection locked="0"/>
    </xf>
    <xf numFmtId="0" fontId="7" fillId="8" borderId="22" xfId="0" applyFont="1" applyFill="1" applyBorder="1" applyAlignment="1" applyProtection="1">
      <alignment horizontal="center" vertical="center"/>
      <protection locked="0"/>
    </xf>
    <xf numFmtId="177" fontId="7" fillId="5" borderId="7" xfId="0" applyNumberFormat="1" applyFont="1" applyFill="1" applyBorder="1" applyAlignment="1" applyProtection="1">
      <alignment horizontal="center" vertical="center"/>
      <protection locked="0"/>
    </xf>
    <xf numFmtId="2" fontId="7" fillId="4" borderId="10" xfId="0" applyNumberFormat="1" applyFont="1" applyFill="1" applyBorder="1" applyAlignment="1" applyProtection="1">
      <alignment horizontal="left" vertical="center"/>
      <protection locked="0"/>
    </xf>
    <xf numFmtId="177" fontId="7" fillId="5" borderId="11" xfId="0" applyNumberFormat="1" applyFont="1" applyFill="1" applyBorder="1" applyAlignment="1" applyProtection="1">
      <alignment horizontal="center" vertical="center"/>
      <protection locked="0"/>
    </xf>
    <xf numFmtId="186" fontId="7" fillId="4" borderId="1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176" fontId="7" fillId="4" borderId="11" xfId="0" applyNumberFormat="1" applyFont="1" applyFill="1" applyBorder="1" applyAlignment="1" applyProtection="1">
      <alignment horizontal="center" vertical="center"/>
      <protection locked="0"/>
    </xf>
    <xf numFmtId="2" fontId="7" fillId="4" borderId="18" xfId="0" applyNumberFormat="1" applyFont="1" applyFill="1" applyBorder="1" applyAlignment="1" applyProtection="1">
      <alignment horizontal="left" vertical="center"/>
      <protection locked="0"/>
    </xf>
    <xf numFmtId="176" fontId="7" fillId="4" borderId="19" xfId="0" applyNumberFormat="1" applyFont="1" applyFill="1" applyBorder="1" applyAlignment="1" applyProtection="1">
      <alignment horizontal="center" vertical="center"/>
      <protection locked="0"/>
    </xf>
    <xf numFmtId="176" fontId="7" fillId="4" borderId="7" xfId="0" applyNumberFormat="1" applyFont="1" applyFill="1" applyBorder="1" applyAlignment="1" applyProtection="1">
      <alignment horizontal="center" vertical="center"/>
      <protection locked="0"/>
    </xf>
    <xf numFmtId="2" fontId="7" fillId="4" borderId="8" xfId="0" applyNumberFormat="1" applyFont="1" applyFill="1" applyBorder="1" applyAlignment="1" applyProtection="1">
      <alignment horizontal="left" vertical="center"/>
      <protection locked="0"/>
    </xf>
    <xf numFmtId="176" fontId="7" fillId="4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justify" vertical="center"/>
      <protection locked="0"/>
    </xf>
    <xf numFmtId="0" fontId="10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2" name="Text Box 4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09600" y="7086600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3" name="Text Box 4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09600" y="7086600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4" name="Text Box 4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609600" y="7086600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5" name="Text Box 4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609600" y="7086600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6" name="Text Box 4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09600" y="7086600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7" name="Text Box 4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09600" y="7086600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8" name="Text Box 4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609600" y="7086600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9" name="Text Box 4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609600" y="7086600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10" name="Text Box 4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609600" y="7086600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11" name="Text Box 4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609600" y="7086600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2" name="Text Box 4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3" name="Text Box 4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4" name="Text Box 4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5" name="Text Box 4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6" name="Text Box 48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7" name="Text Box 48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8" name="Text Box 4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9" name="Text Box 4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10" name="Text Box 4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11" name="Text Box 4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9"/>
  <sheetViews>
    <sheetView zoomScaleNormal="100" workbookViewId="0">
      <selection activeCell="M18" sqref="M18"/>
    </sheetView>
  </sheetViews>
  <sheetFormatPr defaultColWidth="9" defaultRowHeight="10.8" x14ac:dyDescent="0.25"/>
  <cols>
    <col min="1" max="1" width="9" style="1"/>
    <col min="2" max="2" width="20" style="1" bestFit="1" customWidth="1"/>
    <col min="3" max="3" width="10.44140625" style="1" customWidth="1"/>
    <col min="4" max="4" width="2.88671875" style="1" customWidth="1"/>
    <col min="5" max="5" width="30.5546875" style="1" customWidth="1"/>
    <col min="6" max="6" width="16.33203125" style="1" customWidth="1"/>
    <col min="7" max="7" width="2.88671875" style="1" customWidth="1"/>
    <col min="8" max="8" width="25.88671875" style="1" customWidth="1"/>
    <col min="9" max="9" width="10" style="1" customWidth="1"/>
    <col min="10" max="16384" width="9" style="1"/>
  </cols>
  <sheetData>
    <row r="1" spans="2:9" ht="14.4" x14ac:dyDescent="0.2">
      <c r="B1" s="86" t="s">
        <v>51</v>
      </c>
    </row>
    <row r="3" spans="2:9" ht="12" x14ac:dyDescent="0.25">
      <c r="B3" s="2" t="s">
        <v>0</v>
      </c>
      <c r="C3" s="3"/>
    </row>
    <row r="4" spans="2:9" ht="12" x14ac:dyDescent="0.25">
      <c r="B4" s="4" t="s">
        <v>1</v>
      </c>
      <c r="C4" s="5">
        <v>0</v>
      </c>
    </row>
    <row r="5" spans="2:9" ht="12.6" thickBot="1" x14ac:dyDescent="0.3">
      <c r="B5" s="3"/>
      <c r="C5" s="3"/>
    </row>
    <row r="6" spans="2:9" x14ac:dyDescent="0.25">
      <c r="B6" s="6" t="s">
        <v>2</v>
      </c>
      <c r="C6" s="7"/>
    </row>
    <row r="7" spans="2:9" x14ac:dyDescent="0.25">
      <c r="B7" s="8" t="s">
        <v>3</v>
      </c>
      <c r="C7" s="9">
        <v>36</v>
      </c>
    </row>
    <row r="8" spans="2:9" ht="11.4" thickBot="1" x14ac:dyDescent="0.3">
      <c r="B8" s="10" t="s">
        <v>4</v>
      </c>
      <c r="C8" s="11">
        <v>50</v>
      </c>
    </row>
    <row r="9" spans="2:9" x14ac:dyDescent="0.25">
      <c r="B9" s="12" t="s">
        <v>5</v>
      </c>
      <c r="C9" s="13">
        <f>(0.622 * C13) / (101325 - C13)</f>
        <v>1.8789267814364966E-2</v>
      </c>
    </row>
    <row r="10" spans="2:9" x14ac:dyDescent="0.25">
      <c r="B10" s="14" t="s">
        <v>6</v>
      </c>
      <c r="C10" s="15">
        <f xml:space="preserve"> (0.000000000215048*(C11)^5 -0.0000001317674*(C11)^4+ 0.00003524214*(C11)^3 -0.005659883*(C11)^2 + 0.6919482*(C11) - 6.0524) / ( 1 + C9*(0.000000003603787*(C11)^4 -0.000001952588*(C11)^3 + 0.0004185884*(C11)^2 -0.04652773*(C11) + 2.887669))</f>
        <v>26.977849059121422</v>
      </c>
    </row>
    <row r="11" spans="2:9" x14ac:dyDescent="0.25">
      <c r="B11" s="16" t="s">
        <v>7</v>
      </c>
      <c r="C11" s="15">
        <f>(1.006*C7+(1.805*C7+2501)*C9)</f>
        <v>84.42888542630422</v>
      </c>
    </row>
    <row r="12" spans="2:9" x14ac:dyDescent="0.25">
      <c r="B12" s="16" t="s">
        <v>8</v>
      </c>
      <c r="C12" s="17">
        <f>EXP(6.18145 * 10^-12 * C7^5 - 3.429809 * 10^-9 * C7^4 +1.113417 * 10^-6 * C7^3 - 2.986334 * 10^-4 * C7^2 + 7.265429 * 10^-2 * C7 - 5.111336) * 760 *133.32</f>
        <v>5942.1175007633346</v>
      </c>
    </row>
    <row r="13" spans="2:9" ht="11.4" thickBot="1" x14ac:dyDescent="0.3">
      <c r="B13" s="18" t="s">
        <v>9</v>
      </c>
      <c r="C13" s="19">
        <f>C8 * C12 / 100</f>
        <v>2971.0587503816669</v>
      </c>
    </row>
    <row r="14" spans="2:9" x14ac:dyDescent="0.25">
      <c r="B14" s="20"/>
      <c r="C14" s="20"/>
    </row>
    <row r="15" spans="2:9" ht="13.8" thickBot="1" x14ac:dyDescent="0.3">
      <c r="B15" s="21"/>
      <c r="C15" s="21"/>
    </row>
    <row r="16" spans="2:9" ht="11.4" thickBot="1" x14ac:dyDescent="0.3">
      <c r="B16" s="22" t="s">
        <v>10</v>
      </c>
      <c r="C16" s="23"/>
      <c r="D16" s="24"/>
      <c r="E16" s="25" t="s">
        <v>44</v>
      </c>
      <c r="F16" s="26" t="s">
        <v>49</v>
      </c>
      <c r="G16" s="27"/>
      <c r="H16" s="28" t="s">
        <v>11</v>
      </c>
      <c r="I16" s="29"/>
    </row>
    <row r="17" spans="2:9" ht="12" thickTop="1" thickBot="1" x14ac:dyDescent="0.3">
      <c r="B17" s="30" t="s">
        <v>6</v>
      </c>
      <c r="C17" s="31">
        <f>$C$10</f>
        <v>26.977849059121422</v>
      </c>
      <c r="D17" s="20"/>
      <c r="E17" s="32" t="s">
        <v>12</v>
      </c>
      <c r="F17" s="33">
        <f>IF(F38="error",1,0)</f>
        <v>0</v>
      </c>
      <c r="G17" s="20"/>
      <c r="H17" s="34" t="s">
        <v>13</v>
      </c>
      <c r="I17" s="35"/>
    </row>
    <row r="18" spans="2:9" x14ac:dyDescent="0.25">
      <c r="B18" s="20"/>
      <c r="C18" s="20"/>
      <c r="D18" s="20"/>
      <c r="E18" s="36" t="s">
        <v>14</v>
      </c>
      <c r="F18" s="37">
        <f>+I18</f>
        <v>1</v>
      </c>
      <c r="G18" s="20"/>
      <c r="H18" s="38" t="s">
        <v>14</v>
      </c>
      <c r="I18" s="39">
        <v>1</v>
      </c>
    </row>
    <row r="19" spans="2:9" x14ac:dyDescent="0.25">
      <c r="B19" s="20"/>
      <c r="C19" s="20"/>
      <c r="D19" s="20"/>
      <c r="E19" s="36" t="s">
        <v>15</v>
      </c>
      <c r="F19" s="40">
        <f>+I20</f>
        <v>2000</v>
      </c>
      <c r="G19" s="20"/>
      <c r="H19" s="34" t="s">
        <v>16</v>
      </c>
      <c r="I19" s="41"/>
    </row>
    <row r="20" spans="2:9" x14ac:dyDescent="0.25">
      <c r="B20" s="20"/>
      <c r="C20" s="20"/>
      <c r="D20" s="20"/>
      <c r="E20" s="36" t="s">
        <v>17</v>
      </c>
      <c r="F20" s="42">
        <f ca="1">+IF(OR(F18=0,F19=0,$C$4=1),F26, F36)</f>
        <v>31.992278735347796</v>
      </c>
      <c r="G20" s="20"/>
      <c r="H20" s="38" t="s">
        <v>18</v>
      </c>
      <c r="I20" s="43">
        <v>2000</v>
      </c>
    </row>
    <row r="21" spans="2:9" x14ac:dyDescent="0.25">
      <c r="B21" s="20"/>
      <c r="C21" s="20"/>
      <c r="D21" s="20"/>
      <c r="E21" s="36" t="s">
        <v>19</v>
      </c>
      <c r="F21" s="44">
        <f>+I22</f>
        <v>37</v>
      </c>
      <c r="G21" s="20"/>
      <c r="H21" s="38" t="s">
        <v>20</v>
      </c>
      <c r="I21" s="45">
        <f ca="1">F20</f>
        <v>31.992278735347796</v>
      </c>
    </row>
    <row r="22" spans="2:9" x14ac:dyDescent="0.25">
      <c r="B22" s="20"/>
      <c r="C22" s="20"/>
      <c r="D22" s="20"/>
      <c r="E22" s="36" t="s">
        <v>21</v>
      </c>
      <c r="F22" s="46">
        <f>+C17</f>
        <v>26.977849059121422</v>
      </c>
      <c r="G22" s="20"/>
      <c r="H22" s="38" t="s">
        <v>22</v>
      </c>
      <c r="I22" s="47">
        <v>37</v>
      </c>
    </row>
    <row r="23" spans="2:9" ht="11.4" thickBot="1" x14ac:dyDescent="0.3">
      <c r="B23" s="20"/>
      <c r="C23" s="20"/>
      <c r="D23" s="20"/>
      <c r="E23" s="48" t="s">
        <v>23</v>
      </c>
      <c r="F23" s="49">
        <f>F42</f>
        <v>2000</v>
      </c>
      <c r="G23" s="20"/>
      <c r="H23" s="50" t="s">
        <v>24</v>
      </c>
      <c r="I23" s="51"/>
    </row>
    <row r="24" spans="2:9" ht="11.4" thickBot="1" x14ac:dyDescent="0.3">
      <c r="B24" s="20"/>
      <c r="C24" s="20"/>
      <c r="D24" s="20"/>
      <c r="E24" s="20"/>
      <c r="F24" s="52"/>
      <c r="G24" s="20"/>
      <c r="H24" s="53" t="s">
        <v>25</v>
      </c>
      <c r="I24" s="54"/>
    </row>
    <row r="25" spans="2:9" x14ac:dyDescent="0.25">
      <c r="B25" s="20"/>
      <c r="C25" s="20"/>
      <c r="D25" s="20"/>
      <c r="E25" s="55" t="s">
        <v>26</v>
      </c>
      <c r="F25" s="56"/>
      <c r="G25" s="20"/>
      <c r="H25" s="57"/>
      <c r="I25" s="57"/>
    </row>
    <row r="26" spans="2:9" x14ac:dyDescent="0.25">
      <c r="B26" s="20"/>
      <c r="C26" s="20"/>
      <c r="D26" s="20"/>
      <c r="E26" s="8" t="s">
        <v>27</v>
      </c>
      <c r="F26" s="9">
        <v>28</v>
      </c>
      <c r="G26" s="20"/>
      <c r="H26" s="57"/>
      <c r="I26" s="57"/>
    </row>
    <row r="27" spans="2:9" x14ac:dyDescent="0.25">
      <c r="B27" s="20"/>
      <c r="C27" s="20"/>
      <c r="D27" s="20"/>
      <c r="E27" s="8" t="s">
        <v>45</v>
      </c>
      <c r="F27" s="58">
        <v>1</v>
      </c>
      <c r="G27" s="20"/>
      <c r="H27" s="57"/>
      <c r="I27" s="57"/>
    </row>
    <row r="28" spans="2:9" ht="11.4" thickBot="1" x14ac:dyDescent="0.3">
      <c r="B28" s="20"/>
      <c r="C28" s="20"/>
      <c r="D28" s="20"/>
      <c r="E28" s="59" t="s">
        <v>28</v>
      </c>
      <c r="F28" s="60">
        <v>1</v>
      </c>
      <c r="G28" s="20"/>
      <c r="H28" s="57"/>
      <c r="I28" s="57"/>
    </row>
    <row r="29" spans="2:9" ht="11.4" thickBot="1" x14ac:dyDescent="0.3">
      <c r="B29" s="20"/>
      <c r="C29" s="20"/>
      <c r="D29" s="20"/>
      <c r="E29" s="20"/>
      <c r="F29" s="52"/>
      <c r="G29" s="20"/>
      <c r="H29" s="57"/>
      <c r="I29" s="57"/>
    </row>
    <row r="30" spans="2:9" x14ac:dyDescent="0.25">
      <c r="B30" s="20"/>
      <c r="C30" s="20"/>
      <c r="D30" s="20"/>
      <c r="E30" s="61" t="s">
        <v>29</v>
      </c>
      <c r="F30" s="62">
        <f>+F19/F42*100</f>
        <v>100</v>
      </c>
      <c r="G30" s="20"/>
      <c r="H30" s="57"/>
      <c r="I30" s="57"/>
    </row>
    <row r="31" spans="2:9" x14ac:dyDescent="0.25">
      <c r="B31" s="20"/>
      <c r="C31" s="20"/>
      <c r="D31" s="20"/>
      <c r="E31" s="14" t="s">
        <v>30</v>
      </c>
      <c r="F31" s="15">
        <f>+IF($C$4&lt;&gt;1,(((-0.000004721794474*F21^2+0.00029751111532*F21+0.00061832038261)*F22^2+(0.000084967776296*F21^2-0.0067128829235*F21+0.23836348677)*F22+(-0.006443915064*F21^2+0.95482871943*F21-1.1396350496))*(1-(1-(-0.288961*(F30/104)^2+0.86331*(F30/104)+0.4370549))*(F21-F22)/(0.5*F21+12)))*F46+F47,F22)</f>
        <v>31.992256006857492</v>
      </c>
      <c r="G31" s="20"/>
      <c r="H31" s="57"/>
      <c r="I31" s="57"/>
    </row>
    <row r="32" spans="2:9" x14ac:dyDescent="0.25">
      <c r="B32" s="20"/>
      <c r="C32" s="20"/>
      <c r="D32" s="20"/>
      <c r="E32" s="14" t="s">
        <v>31</v>
      </c>
      <c r="F32" s="15">
        <f ca="1">F31*(1-(1-(1.3064*(F33/(-0.45))^2+8.5558*(F33/(-0.45))+13.5616))*(F21-F22)/(23.5*F21+105.8))</f>
        <v>31.992278735347796</v>
      </c>
      <c r="G32" s="20"/>
      <c r="H32" s="63"/>
      <c r="I32" s="57"/>
    </row>
    <row r="33" spans="2:9" x14ac:dyDescent="0.25">
      <c r="B33" s="20"/>
      <c r="C33" s="20"/>
      <c r="D33" s="20"/>
      <c r="E33" s="14" t="s">
        <v>32</v>
      </c>
      <c r="F33" s="64">
        <f ca="1">IF(OR($C$4=1,F18=0),(F44/F43+1)/2,IF(F33&gt;=1,1,IF(F33&lt;=(F44/F43),F44/F43,IF(F32&lt;F26,F33-F45,F33+F45))))</f>
        <v>1</v>
      </c>
      <c r="G33" s="20"/>
      <c r="H33" s="57"/>
      <c r="I33" s="57"/>
    </row>
    <row r="34" spans="2:9" x14ac:dyDescent="0.25">
      <c r="B34" s="20"/>
      <c r="C34" s="20"/>
      <c r="D34" s="20"/>
      <c r="E34" s="14" t="s">
        <v>48</v>
      </c>
      <c r="F34" s="15">
        <f ca="1">F33*F43</f>
        <v>50</v>
      </c>
      <c r="G34" s="20"/>
      <c r="H34" s="57"/>
      <c r="I34" s="57"/>
    </row>
    <row r="35" spans="2:9" x14ac:dyDescent="0.25">
      <c r="B35" s="20"/>
      <c r="C35" s="20"/>
      <c r="D35" s="20"/>
      <c r="E35" s="14" t="s">
        <v>33</v>
      </c>
      <c r="F35" s="65">
        <f ca="1">+IF(OR(F18=0,AND(F28=1,F21&lt;F26)),0,IF(F27=0,((F21-F36)/(F21-F31)*F41)*F48+F49,F41*F33^3))</f>
        <v>4</v>
      </c>
      <c r="G35" s="20"/>
      <c r="H35" s="66"/>
      <c r="I35" s="57"/>
    </row>
    <row r="36" spans="2:9" x14ac:dyDescent="0.25">
      <c r="B36" s="20"/>
      <c r="C36" s="20"/>
      <c r="D36" s="20"/>
      <c r="E36" s="67" t="s">
        <v>17</v>
      </c>
      <c r="F36" s="68">
        <f ca="1">+IF(F28=1,IF(F27=0,IF(F31&gt;F26,F31,F26),IF(F32&gt;F26,F32,F26)),F31)</f>
        <v>31.992278735347796</v>
      </c>
      <c r="G36" s="20"/>
      <c r="H36" s="57"/>
      <c r="I36" s="57"/>
    </row>
    <row r="37" spans="2:9" x14ac:dyDescent="0.25">
      <c r="B37" s="20"/>
      <c r="C37" s="20"/>
      <c r="D37" s="20"/>
      <c r="E37" s="69" t="s">
        <v>34</v>
      </c>
      <c r="F37" s="70">
        <f>IF($C$4=1,0,
F18*(IF((F30-80)*(F30-110)&lt;=0,0,IF((F30-50)*(F30-110)&lt;=0,10,20))
+F18*(IF((F21-10)*(F21-40)&lt;=0,0,IF((F21-10)*(F21-50)&lt;=0,1,2)))))</f>
        <v>0</v>
      </c>
      <c r="G37" s="20"/>
      <c r="H37" s="71"/>
      <c r="I37" s="57"/>
    </row>
    <row r="38" spans="2:9" ht="11.4" thickBot="1" x14ac:dyDescent="0.3">
      <c r="B38" s="20"/>
      <c r="C38" s="20"/>
      <c r="D38" s="20"/>
      <c r="E38" s="72" t="s">
        <v>35</v>
      </c>
      <c r="F38" s="73" t="str">
        <f>IF(ISERR(FIND(2,F37))=TRUE, IF(ISERR(FIND(1,F37))=TRUE,"good","warning"),"error")</f>
        <v>good</v>
      </c>
      <c r="G38" s="20"/>
      <c r="H38" s="57"/>
      <c r="I38" s="57"/>
    </row>
    <row r="39" spans="2:9" ht="11.4" thickBot="1" x14ac:dyDescent="0.3">
      <c r="B39" s="20"/>
      <c r="C39" s="20"/>
      <c r="D39" s="20"/>
      <c r="E39" s="20"/>
      <c r="F39" s="52"/>
      <c r="G39" s="20"/>
      <c r="H39" s="57"/>
      <c r="I39" s="57"/>
    </row>
    <row r="40" spans="2:9" x14ac:dyDescent="0.25">
      <c r="B40" s="20"/>
      <c r="C40" s="20"/>
      <c r="D40" s="20"/>
      <c r="E40" s="55" t="s">
        <v>36</v>
      </c>
      <c r="F40" s="56"/>
      <c r="G40" s="20"/>
      <c r="H40" s="57"/>
      <c r="I40" s="57"/>
    </row>
    <row r="41" spans="2:9" x14ac:dyDescent="0.25">
      <c r="B41" s="20"/>
      <c r="C41" s="20"/>
      <c r="D41" s="20"/>
      <c r="E41" s="8" t="s">
        <v>37</v>
      </c>
      <c r="F41" s="9">
        <v>4</v>
      </c>
      <c r="G41" s="20"/>
      <c r="H41" s="57"/>
      <c r="I41" s="57"/>
    </row>
    <row r="42" spans="2:9" x14ac:dyDescent="0.25">
      <c r="B42" s="20"/>
      <c r="C42" s="20"/>
      <c r="D42" s="20"/>
      <c r="E42" s="8" t="s">
        <v>23</v>
      </c>
      <c r="F42" s="74">
        <v>2000</v>
      </c>
      <c r="G42" s="20"/>
      <c r="H42" s="57"/>
      <c r="I42" s="57"/>
    </row>
    <row r="43" spans="2:9" x14ac:dyDescent="0.25">
      <c r="B43" s="20"/>
      <c r="C43" s="20"/>
      <c r="D43" s="20"/>
      <c r="E43" s="75" t="s">
        <v>46</v>
      </c>
      <c r="F43" s="76">
        <v>50</v>
      </c>
      <c r="G43" s="20"/>
      <c r="H43" s="57"/>
      <c r="I43" s="57"/>
    </row>
    <row r="44" spans="2:9" x14ac:dyDescent="0.25">
      <c r="B44" s="20"/>
      <c r="C44" s="20"/>
      <c r="D44" s="20"/>
      <c r="E44" s="75" t="s">
        <v>47</v>
      </c>
      <c r="F44" s="76">
        <v>20</v>
      </c>
      <c r="G44" s="20"/>
      <c r="H44" s="57"/>
      <c r="I44" s="57"/>
    </row>
    <row r="45" spans="2:9" x14ac:dyDescent="0.25">
      <c r="B45" s="20"/>
      <c r="C45" s="20"/>
      <c r="D45" s="20"/>
      <c r="E45" s="75" t="s">
        <v>38</v>
      </c>
      <c r="F45" s="77">
        <f ca="1">((ABS(F26-F32))^(3/4))/200*(-(1-0.001)/(((1-(F44/F43))/2)^2)*((F33-((F44/F43)+1)/2)^2)+1)</f>
        <v>1.4121656584834715E-5</v>
      </c>
      <c r="G45" s="20"/>
      <c r="H45" s="57"/>
      <c r="I45" s="57"/>
    </row>
    <row r="46" spans="2:9" x14ac:dyDescent="0.25">
      <c r="B46" s="57"/>
      <c r="C46" s="78"/>
      <c r="D46" s="20"/>
      <c r="E46" s="75" t="s">
        <v>39</v>
      </c>
      <c r="F46" s="79">
        <v>1</v>
      </c>
      <c r="G46" s="20"/>
      <c r="H46" s="57"/>
      <c r="I46" s="57"/>
    </row>
    <row r="47" spans="2:9" x14ac:dyDescent="0.25">
      <c r="B47" s="57"/>
      <c r="C47" s="78"/>
      <c r="D47" s="57"/>
      <c r="E47" s="80" t="s">
        <v>40</v>
      </c>
      <c r="F47" s="81">
        <v>0</v>
      </c>
      <c r="G47" s="20"/>
      <c r="H47" s="57"/>
      <c r="I47" s="57"/>
    </row>
    <row r="48" spans="2:9" x14ac:dyDescent="0.25">
      <c r="B48" s="57"/>
      <c r="C48" s="78"/>
      <c r="D48" s="57"/>
      <c r="E48" s="8" t="s">
        <v>41</v>
      </c>
      <c r="F48" s="82">
        <v>1</v>
      </c>
      <c r="G48" s="57"/>
      <c r="H48" s="57"/>
      <c r="I48" s="57"/>
    </row>
    <row r="49" spans="2:9" ht="11.4" thickBot="1" x14ac:dyDescent="0.3">
      <c r="B49" s="57"/>
      <c r="C49" s="57"/>
      <c r="D49" s="57"/>
      <c r="E49" s="83" t="s">
        <v>42</v>
      </c>
      <c r="F49" s="84">
        <v>0</v>
      </c>
      <c r="G49" s="57"/>
      <c r="H49" s="85"/>
      <c r="I49" s="57"/>
    </row>
  </sheetData>
  <sheetProtection algorithmName="SHA-512" hashValue="LqkLCoCEtIH3D+kGdZJ8/lXDTZlqhUiln4OR9y5hU7jKU3of5uM/jKW1rsQXfygEyyfinJkbVki7zr7YfhueRQ==" saltValue="8hAebdvZWl783pzYxIhP1g==" spinCount="100000" sheet="1" objects="1" scenarios="1"/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49"/>
  <sheetViews>
    <sheetView tabSelected="1" workbookViewId="0">
      <selection activeCell="B1" sqref="B1"/>
    </sheetView>
  </sheetViews>
  <sheetFormatPr defaultColWidth="9" defaultRowHeight="10.8" x14ac:dyDescent="0.25"/>
  <cols>
    <col min="1" max="1" width="9" style="1"/>
    <col min="2" max="2" width="20" style="1" bestFit="1" customWidth="1"/>
    <col min="3" max="3" width="10.44140625" style="1" customWidth="1"/>
    <col min="4" max="4" width="2.88671875" style="1" customWidth="1"/>
    <col min="5" max="5" width="30.5546875" style="1" customWidth="1"/>
    <col min="6" max="6" width="16.33203125" style="1" customWidth="1"/>
    <col min="7" max="7" width="2.88671875" style="1" customWidth="1"/>
    <col min="8" max="8" width="25.88671875" style="1" customWidth="1"/>
    <col min="9" max="9" width="10" style="1" customWidth="1"/>
    <col min="10" max="16384" width="9" style="1"/>
  </cols>
  <sheetData>
    <row r="1" spans="2:9" ht="14.4" x14ac:dyDescent="0.2">
      <c r="B1" s="86" t="s">
        <v>51</v>
      </c>
    </row>
    <row r="3" spans="2:9" ht="12" x14ac:dyDescent="0.25">
      <c r="B3" s="2" t="s">
        <v>0</v>
      </c>
      <c r="C3" s="3"/>
    </row>
    <row r="4" spans="2:9" ht="12" x14ac:dyDescent="0.25">
      <c r="B4" s="4" t="s">
        <v>1</v>
      </c>
      <c r="C4" s="5">
        <v>0</v>
      </c>
    </row>
    <row r="5" spans="2:9" ht="12.6" thickBot="1" x14ac:dyDescent="0.3">
      <c r="B5" s="3"/>
      <c r="C5" s="3"/>
    </row>
    <row r="6" spans="2:9" x14ac:dyDescent="0.25">
      <c r="B6" s="6" t="s">
        <v>2</v>
      </c>
      <c r="C6" s="7"/>
    </row>
    <row r="7" spans="2:9" x14ac:dyDescent="0.25">
      <c r="B7" s="8" t="s">
        <v>3</v>
      </c>
      <c r="C7" s="9">
        <v>36</v>
      </c>
    </row>
    <row r="8" spans="2:9" ht="11.4" thickBot="1" x14ac:dyDescent="0.3">
      <c r="B8" s="10" t="s">
        <v>4</v>
      </c>
      <c r="C8" s="11">
        <v>50</v>
      </c>
    </row>
    <row r="9" spans="2:9" x14ac:dyDescent="0.25">
      <c r="B9" s="12" t="s">
        <v>5</v>
      </c>
      <c r="C9" s="13">
        <f>(0.622 * C13) / (101325 - C13)</f>
        <v>1.8789267814364966E-2</v>
      </c>
    </row>
    <row r="10" spans="2:9" x14ac:dyDescent="0.25">
      <c r="B10" s="14" t="s">
        <v>6</v>
      </c>
      <c r="C10" s="15">
        <f xml:space="preserve"> (0.000000000215048*(C11)^5 -0.0000001317674*(C11)^4+ 0.00003524214*(C11)^3 -0.005659883*(C11)^2 + 0.6919482*(C11) - 6.0524) / ( 1 + C9*(0.000000003603787*(C11)^4 -0.000001952588*(C11)^3 + 0.0004185884*(C11)^2 -0.04652773*(C11) + 2.887669))</f>
        <v>26.977849059121422</v>
      </c>
    </row>
    <row r="11" spans="2:9" x14ac:dyDescent="0.25">
      <c r="B11" s="16" t="s">
        <v>7</v>
      </c>
      <c r="C11" s="15">
        <f>(1.006*C7+(1.805*C7+2501)*C9)</f>
        <v>84.42888542630422</v>
      </c>
    </row>
    <row r="12" spans="2:9" x14ac:dyDescent="0.25">
      <c r="B12" s="16" t="s">
        <v>8</v>
      </c>
      <c r="C12" s="17">
        <f>EXP(6.18145 * 10^-12 * C7^5 - 3.429809 * 10^-9 * C7^4 +1.113417 * 10^-6 * C7^3 - 2.986334 * 10^-4 * C7^2 + 7.265429 * 10^-2 * C7 - 5.111336) * 760 *133.32</f>
        <v>5942.1175007633346</v>
      </c>
    </row>
    <row r="13" spans="2:9" ht="11.4" thickBot="1" x14ac:dyDescent="0.3">
      <c r="B13" s="18" t="s">
        <v>9</v>
      </c>
      <c r="C13" s="19">
        <f>C8 * C12 / 100</f>
        <v>2971.0587503816669</v>
      </c>
    </row>
    <row r="14" spans="2:9" x14ac:dyDescent="0.25">
      <c r="B14" s="20"/>
      <c r="C14" s="20"/>
    </row>
    <row r="15" spans="2:9" ht="13.8" thickBot="1" x14ac:dyDescent="0.3">
      <c r="B15" s="21"/>
      <c r="C15" s="21"/>
    </row>
    <row r="16" spans="2:9" ht="11.4" thickBot="1" x14ac:dyDescent="0.3">
      <c r="B16" s="22" t="s">
        <v>10</v>
      </c>
      <c r="C16" s="23"/>
      <c r="D16" s="24"/>
      <c r="E16" s="25" t="s">
        <v>43</v>
      </c>
      <c r="F16" s="26" t="s">
        <v>50</v>
      </c>
      <c r="G16" s="27"/>
      <c r="H16" s="28" t="s">
        <v>11</v>
      </c>
      <c r="I16" s="29"/>
    </row>
    <row r="17" spans="2:9" ht="12" thickTop="1" thickBot="1" x14ac:dyDescent="0.3">
      <c r="B17" s="30" t="s">
        <v>6</v>
      </c>
      <c r="C17" s="31">
        <f>$C$10</f>
        <v>26.977849059121422</v>
      </c>
      <c r="D17" s="20"/>
      <c r="E17" s="32" t="s">
        <v>12</v>
      </c>
      <c r="F17" s="33">
        <f>IF(F38="error",1,0)</f>
        <v>0</v>
      </c>
      <c r="G17" s="20"/>
      <c r="H17" s="34" t="s">
        <v>13</v>
      </c>
      <c r="I17" s="35"/>
    </row>
    <row r="18" spans="2:9" x14ac:dyDescent="0.25">
      <c r="B18" s="20"/>
      <c r="C18" s="20"/>
      <c r="D18" s="20"/>
      <c r="E18" s="36" t="s">
        <v>14</v>
      </c>
      <c r="F18" s="37">
        <f>+I18</f>
        <v>1</v>
      </c>
      <c r="G18" s="20"/>
      <c r="H18" s="38" t="s">
        <v>14</v>
      </c>
      <c r="I18" s="39">
        <v>1</v>
      </c>
    </row>
    <row r="19" spans="2:9" x14ac:dyDescent="0.25">
      <c r="B19" s="20"/>
      <c r="C19" s="20"/>
      <c r="D19" s="20"/>
      <c r="E19" s="36" t="s">
        <v>15</v>
      </c>
      <c r="F19" s="40">
        <f>+I20</f>
        <v>2000</v>
      </c>
      <c r="G19" s="20"/>
      <c r="H19" s="34" t="s">
        <v>16</v>
      </c>
      <c r="I19" s="41"/>
    </row>
    <row r="20" spans="2:9" x14ac:dyDescent="0.25">
      <c r="B20" s="20"/>
      <c r="C20" s="20"/>
      <c r="D20" s="20"/>
      <c r="E20" s="36" t="s">
        <v>17</v>
      </c>
      <c r="F20" s="42">
        <f ca="1">+IF(OR(F18=0,F19=0,$C$4=1),F26, F36)</f>
        <v>31.993572948518917</v>
      </c>
      <c r="G20" s="20"/>
      <c r="H20" s="38" t="s">
        <v>18</v>
      </c>
      <c r="I20" s="43">
        <v>2000</v>
      </c>
    </row>
    <row r="21" spans="2:9" x14ac:dyDescent="0.25">
      <c r="B21" s="20"/>
      <c r="C21" s="20"/>
      <c r="D21" s="20"/>
      <c r="E21" s="36" t="s">
        <v>19</v>
      </c>
      <c r="F21" s="44">
        <f>+I22</f>
        <v>37.5</v>
      </c>
      <c r="G21" s="20"/>
      <c r="H21" s="38" t="s">
        <v>20</v>
      </c>
      <c r="I21" s="45">
        <f ca="1">F20</f>
        <v>31.993572948518917</v>
      </c>
    </row>
    <row r="22" spans="2:9" x14ac:dyDescent="0.25">
      <c r="B22" s="20"/>
      <c r="C22" s="20"/>
      <c r="D22" s="20"/>
      <c r="E22" s="36" t="s">
        <v>21</v>
      </c>
      <c r="F22" s="46">
        <f>+C17</f>
        <v>26.977849059121422</v>
      </c>
      <c r="G22" s="20"/>
      <c r="H22" s="38" t="s">
        <v>22</v>
      </c>
      <c r="I22" s="47">
        <v>37.5</v>
      </c>
    </row>
    <row r="23" spans="2:9" ht="11.4" thickBot="1" x14ac:dyDescent="0.3">
      <c r="B23" s="20"/>
      <c r="C23" s="20"/>
      <c r="D23" s="20"/>
      <c r="E23" s="48" t="s">
        <v>23</v>
      </c>
      <c r="F23" s="49">
        <f>F42</f>
        <v>2000</v>
      </c>
      <c r="G23" s="20"/>
      <c r="H23" s="50" t="s">
        <v>24</v>
      </c>
      <c r="I23" s="51"/>
    </row>
    <row r="24" spans="2:9" ht="11.4" thickBot="1" x14ac:dyDescent="0.3">
      <c r="B24" s="20"/>
      <c r="C24" s="20"/>
      <c r="D24" s="20"/>
      <c r="E24" s="20"/>
      <c r="F24" s="52"/>
      <c r="G24" s="20"/>
      <c r="H24" s="53" t="s">
        <v>25</v>
      </c>
      <c r="I24" s="54"/>
    </row>
    <row r="25" spans="2:9" x14ac:dyDescent="0.25">
      <c r="B25" s="20"/>
      <c r="C25" s="20"/>
      <c r="D25" s="20"/>
      <c r="E25" s="55" t="s">
        <v>26</v>
      </c>
      <c r="F25" s="56"/>
      <c r="G25" s="20"/>
      <c r="H25" s="57"/>
      <c r="I25" s="57"/>
    </row>
    <row r="26" spans="2:9" x14ac:dyDescent="0.25">
      <c r="B26" s="20"/>
      <c r="C26" s="20"/>
      <c r="D26" s="20"/>
      <c r="E26" s="8" t="s">
        <v>27</v>
      </c>
      <c r="F26" s="9">
        <v>28</v>
      </c>
      <c r="G26" s="20"/>
      <c r="H26" s="57"/>
      <c r="I26" s="57"/>
    </row>
    <row r="27" spans="2:9" x14ac:dyDescent="0.25">
      <c r="B27" s="20"/>
      <c r="C27" s="20"/>
      <c r="D27" s="20"/>
      <c r="E27" s="8" t="s">
        <v>45</v>
      </c>
      <c r="F27" s="58">
        <v>1</v>
      </c>
      <c r="G27" s="20"/>
      <c r="H27" s="57"/>
      <c r="I27" s="57"/>
    </row>
    <row r="28" spans="2:9" ht="11.4" thickBot="1" x14ac:dyDescent="0.3">
      <c r="B28" s="20"/>
      <c r="C28" s="20"/>
      <c r="D28" s="20"/>
      <c r="E28" s="59" t="s">
        <v>28</v>
      </c>
      <c r="F28" s="60">
        <v>1</v>
      </c>
      <c r="G28" s="20"/>
      <c r="H28" s="57"/>
      <c r="I28" s="57"/>
    </row>
    <row r="29" spans="2:9" ht="11.4" thickBot="1" x14ac:dyDescent="0.3">
      <c r="B29" s="20"/>
      <c r="C29" s="20"/>
      <c r="D29" s="20"/>
      <c r="E29" s="20"/>
      <c r="F29" s="52"/>
      <c r="G29" s="20"/>
      <c r="H29" s="57"/>
      <c r="I29" s="57"/>
    </row>
    <row r="30" spans="2:9" x14ac:dyDescent="0.25">
      <c r="B30" s="20"/>
      <c r="C30" s="20"/>
      <c r="D30" s="20"/>
      <c r="E30" s="61" t="s">
        <v>29</v>
      </c>
      <c r="F30" s="62">
        <f>+F19/F42*100</f>
        <v>100</v>
      </c>
      <c r="G30" s="20"/>
      <c r="H30" s="57"/>
      <c r="I30" s="57"/>
    </row>
    <row r="31" spans="2:9" x14ac:dyDescent="0.25">
      <c r="B31" s="20"/>
      <c r="C31" s="20"/>
      <c r="D31" s="20"/>
      <c r="E31" s="14" t="s">
        <v>30</v>
      </c>
      <c r="F31" s="15">
        <f>+IF($C$4&lt;&gt;1,(((-0.0000049939687319*F21^2+0.00031286390612*F21+0.00063270932352)*F22^2+(0.000090507617734*F21^2-0.0071332458063*F21+0.25202206224)*F22+(-0.0065417988109*F21^2+0.94454787305*F21-1.1319362411))*(1-(1-(-0.288961*(F30/104)^2+0.86331*(F30/104)+0.4370549))*(F21-F22)/(0.5*F21+12)))*F46+F47,F22)</f>
        <v>31.993549369224443</v>
      </c>
      <c r="G31" s="20"/>
      <c r="H31" s="57"/>
      <c r="I31" s="57"/>
    </row>
    <row r="32" spans="2:9" x14ac:dyDescent="0.25">
      <c r="B32" s="20"/>
      <c r="C32" s="20"/>
      <c r="D32" s="20"/>
      <c r="E32" s="14" t="s">
        <v>31</v>
      </c>
      <c r="F32" s="15">
        <f ca="1">F31*(1-(1-(1.3064*(F33/(-0.45))^2+8.5558*(F33/(-0.45))+13.5616))*(F21-F22)/(23.5*F21+105.8))</f>
        <v>31.993572948518917</v>
      </c>
      <c r="G32" s="20"/>
      <c r="H32" s="63"/>
      <c r="I32" s="57"/>
    </row>
    <row r="33" spans="2:9" x14ac:dyDescent="0.25">
      <c r="B33" s="20"/>
      <c r="C33" s="20"/>
      <c r="D33" s="20"/>
      <c r="E33" s="14" t="s">
        <v>32</v>
      </c>
      <c r="F33" s="64">
        <f ca="1">IF(OR($C$4=1,F18=0),(F44/F43+1)/2,IF(F33&gt;=1,1,IF(F33&lt;=(F44/F43),F44/F43,IF(F32&lt;F26,F33-F45,F33+F45))))</f>
        <v>1</v>
      </c>
      <c r="G33" s="20"/>
      <c r="H33" s="57"/>
      <c r="I33" s="57"/>
    </row>
    <row r="34" spans="2:9" x14ac:dyDescent="0.25">
      <c r="B34" s="20"/>
      <c r="C34" s="20"/>
      <c r="D34" s="20"/>
      <c r="E34" s="14" t="s">
        <v>48</v>
      </c>
      <c r="F34" s="15">
        <f ca="1">F33*F43</f>
        <v>50</v>
      </c>
      <c r="G34" s="20"/>
      <c r="H34" s="57"/>
      <c r="I34" s="57"/>
    </row>
    <row r="35" spans="2:9" x14ac:dyDescent="0.25">
      <c r="B35" s="20"/>
      <c r="C35" s="20"/>
      <c r="D35" s="20"/>
      <c r="E35" s="14" t="s">
        <v>33</v>
      </c>
      <c r="F35" s="65">
        <f ca="1">+IF(OR(F18=0,AND(F28=1,F21&lt;F26)),0,IF(F27=0,((F21-F36)/(F21-F31)*F41)*F48+F49,F41*F33^3))</f>
        <v>4</v>
      </c>
      <c r="G35" s="20"/>
      <c r="H35" s="66"/>
      <c r="I35" s="57"/>
    </row>
    <row r="36" spans="2:9" x14ac:dyDescent="0.25">
      <c r="B36" s="20"/>
      <c r="C36" s="20"/>
      <c r="D36" s="20"/>
      <c r="E36" s="67" t="s">
        <v>17</v>
      </c>
      <c r="F36" s="68">
        <f ca="1">+IF(F28=1,IF(F27=0,IF(F31&gt;F26,F31,F26),IF(F32&gt;F26,F32,F26)),F31)</f>
        <v>31.993572948518917</v>
      </c>
      <c r="G36" s="20"/>
      <c r="H36" s="57"/>
      <c r="I36" s="57"/>
    </row>
    <row r="37" spans="2:9" x14ac:dyDescent="0.25">
      <c r="B37" s="20"/>
      <c r="C37" s="20"/>
      <c r="D37" s="20"/>
      <c r="E37" s="69" t="s">
        <v>34</v>
      </c>
      <c r="F37" s="70">
        <f>IF($C$4=1,0,
F18*(IF((F30-80)*(F30-110)&lt;=0,0,IF((F30-50)*(F30-110)&lt;=0,10,20))
+F18*(IF((F21-10)*(F21-40)&lt;=0,0,IF((F21-10)*(F21-50)&lt;=0,1,2)))))</f>
        <v>0</v>
      </c>
      <c r="G37" s="20"/>
      <c r="H37" s="71"/>
      <c r="I37" s="57"/>
    </row>
    <row r="38" spans="2:9" ht="11.4" thickBot="1" x14ac:dyDescent="0.3">
      <c r="B38" s="20"/>
      <c r="C38" s="20"/>
      <c r="D38" s="20"/>
      <c r="E38" s="72" t="s">
        <v>35</v>
      </c>
      <c r="F38" s="73" t="str">
        <f>IF(ISERR(FIND(2,F37))=TRUE, IF(ISERR(FIND(1,F37))=TRUE,"good","warning"),"error")</f>
        <v>good</v>
      </c>
      <c r="G38" s="20"/>
      <c r="H38" s="57"/>
      <c r="I38" s="57"/>
    </row>
    <row r="39" spans="2:9" ht="11.4" thickBot="1" x14ac:dyDescent="0.3">
      <c r="B39" s="20"/>
      <c r="C39" s="20"/>
      <c r="D39" s="20"/>
      <c r="E39" s="20"/>
      <c r="F39" s="52"/>
      <c r="G39" s="20"/>
      <c r="H39" s="57"/>
      <c r="I39" s="57"/>
    </row>
    <row r="40" spans="2:9" x14ac:dyDescent="0.25">
      <c r="B40" s="20"/>
      <c r="C40" s="20"/>
      <c r="D40" s="20"/>
      <c r="E40" s="55" t="s">
        <v>36</v>
      </c>
      <c r="F40" s="56"/>
      <c r="G40" s="20"/>
      <c r="H40" s="57"/>
      <c r="I40" s="57"/>
    </row>
    <row r="41" spans="2:9" x14ac:dyDescent="0.25">
      <c r="B41" s="20"/>
      <c r="C41" s="20"/>
      <c r="D41" s="20"/>
      <c r="E41" s="8" t="s">
        <v>37</v>
      </c>
      <c r="F41" s="9">
        <v>4</v>
      </c>
      <c r="G41" s="20"/>
      <c r="H41" s="57"/>
      <c r="I41" s="57"/>
    </row>
    <row r="42" spans="2:9" x14ac:dyDescent="0.25">
      <c r="B42" s="20"/>
      <c r="C42" s="20"/>
      <c r="D42" s="20"/>
      <c r="E42" s="8" t="s">
        <v>23</v>
      </c>
      <c r="F42" s="74">
        <v>2000</v>
      </c>
      <c r="G42" s="20"/>
      <c r="H42" s="57"/>
      <c r="I42" s="57"/>
    </row>
    <row r="43" spans="2:9" x14ac:dyDescent="0.25">
      <c r="B43" s="20"/>
      <c r="C43" s="20"/>
      <c r="D43" s="20"/>
      <c r="E43" s="75" t="s">
        <v>46</v>
      </c>
      <c r="F43" s="76">
        <v>50</v>
      </c>
      <c r="G43" s="20"/>
      <c r="H43" s="57"/>
      <c r="I43" s="57"/>
    </row>
    <row r="44" spans="2:9" x14ac:dyDescent="0.25">
      <c r="B44" s="20"/>
      <c r="C44" s="20"/>
      <c r="D44" s="20"/>
      <c r="E44" s="75" t="s">
        <v>47</v>
      </c>
      <c r="F44" s="76">
        <v>20</v>
      </c>
      <c r="G44" s="20"/>
      <c r="H44" s="57"/>
      <c r="I44" s="57"/>
    </row>
    <row r="45" spans="2:9" x14ac:dyDescent="0.25">
      <c r="B45" s="20"/>
      <c r="C45" s="20"/>
      <c r="D45" s="20"/>
      <c r="E45" s="75" t="s">
        <v>38</v>
      </c>
      <c r="F45" s="77">
        <f ca="1">((ABS(F26-F32))^(3/4))/200*(-(1-0.001)/(((1-(F44/F43))/2)^2)*((F33-((F44/F43)+1)/2)^2)+1)</f>
        <v>1.4125089904748671E-5</v>
      </c>
      <c r="G45" s="20"/>
      <c r="H45" s="57"/>
      <c r="I45" s="57"/>
    </row>
    <row r="46" spans="2:9" x14ac:dyDescent="0.25">
      <c r="B46" s="57"/>
      <c r="C46" s="78"/>
      <c r="D46" s="20"/>
      <c r="E46" s="75" t="s">
        <v>39</v>
      </c>
      <c r="F46" s="79">
        <v>1</v>
      </c>
      <c r="G46" s="20"/>
      <c r="H46" s="57"/>
      <c r="I46" s="57"/>
    </row>
    <row r="47" spans="2:9" x14ac:dyDescent="0.25">
      <c r="B47" s="57"/>
      <c r="C47" s="78"/>
      <c r="D47" s="57"/>
      <c r="E47" s="80" t="s">
        <v>40</v>
      </c>
      <c r="F47" s="81">
        <v>0</v>
      </c>
      <c r="G47" s="20"/>
      <c r="H47" s="57"/>
      <c r="I47" s="57"/>
    </row>
    <row r="48" spans="2:9" x14ac:dyDescent="0.25">
      <c r="B48" s="57"/>
      <c r="C48" s="78"/>
      <c r="D48" s="57"/>
      <c r="E48" s="8" t="s">
        <v>41</v>
      </c>
      <c r="F48" s="82">
        <v>1</v>
      </c>
      <c r="G48" s="57"/>
      <c r="H48" s="57"/>
      <c r="I48" s="57"/>
    </row>
    <row r="49" spans="2:9" ht="11.4" thickBot="1" x14ac:dyDescent="0.3">
      <c r="B49" s="57"/>
      <c r="C49" s="57"/>
      <c r="D49" s="57"/>
      <c r="E49" s="83" t="s">
        <v>42</v>
      </c>
      <c r="F49" s="84">
        <v>0</v>
      </c>
      <c r="G49" s="57"/>
      <c r="H49" s="85"/>
      <c r="I49" s="57"/>
    </row>
  </sheetData>
  <sheetProtection algorithmName="SHA-512" hashValue="PL8v0rlzcKVK/R3dS5/VKRSJQcVdXDWXlEHJNaQo46FYig7D0g5GPxB8gJ2gX0iht06FztuT5q4fkAK2gv7TMA==" saltValue="tNIbPp/lusK4cQ+R3Fgx9A==" spinCount="100000" sheet="1" objects="1" scenarios="1"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開放形冷却塔（遠心冷凍機用）</vt:lpstr>
      <vt:lpstr>開放形冷却塔（吸収冷温水機用）</vt:lpstr>
    </vt:vector>
  </TitlesOfParts>
  <Company>新菱冷熱工業㈱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SCKY</dc:creator>
  <cp:lastModifiedBy>英紀 田中</cp:lastModifiedBy>
  <dcterms:created xsi:type="dcterms:W3CDTF">2021-03-15T00:24:40Z</dcterms:created>
  <dcterms:modified xsi:type="dcterms:W3CDTF">2025-12-12T03:58:54Z</dcterms:modified>
</cp:coreProperties>
</file>